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umptions" sheetId="2" state="visible" r:id="rId4"/>
    <sheet name="TireMarket" sheetId="3" state="visible" r:id="rId5"/>
    <sheet name="BatteryMarket" sheetId="4" state="visible" r:id="rId6"/>
    <sheet name="Revenue" sheetId="5" state="visible" r:id="rId7"/>
    <sheet name="OpEx_CapEx" sheetId="6" state="visible" r:id="rId8"/>
    <sheet name="PnL_CF" sheetId="7" state="visible" r:id="rId9"/>
    <sheet name="DCF_Valuation" sheetId="8" state="visible" r:id="rId10"/>
    <sheet name="Sensitivity" sheetId="9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A5" authorId="0">
      <text>
        <r>
          <rPr>
            <sz val="10"/>
            <rFont val="Arial"/>
            <family val="2"/>
          </rPr>
          <t xml:space="preserve">Multiple 2025-2026 market reports: ~15 MMTPA global CB production. Source: Yahoo Finance / Carbon Black Market Report 2026-2036; ExpertMarketResearch.</t>
        </r>
      </text>
    </comment>
    <comment ref="A6" authorId="0">
      <text>
        <r>
          <rPr>
            <sz val="10"/>
            <rFont val="Arial"/>
            <family val="2"/>
          </rPr>
          <t xml:space="preserve">Global CB market value 2025: $25-29B (mid-range used). Source: Fortune Business Insights, Grand View Research, ExpertMarketResearch.</t>
        </r>
      </text>
    </comment>
    <comment ref="A7" authorId="0">
      <text>
        <r>
          <rPr>
            <sz val="10"/>
            <rFont val="Arial"/>
            <family val="2"/>
          </rPr>
          <t xml:space="preserve">Tire share: 65-73% across sources. 70% is the consensus midpoint. Source: Mordor (73.85%), Grand View (68.8%), ExpertMarketResearch (65-70%).</t>
        </r>
      </text>
    </comment>
    <comment ref="A10" authorId="0">
      <text>
        <r>
          <rPr>
            <sz val="10"/>
            <rFont val="Arial"/>
            <family val="2"/>
          </rPr>
          <t xml:space="preserve">Average global price 2025: $1.48-1.88/kg. Source: ExpertMarketResearch.com 2025 price tracking.</t>
        </r>
      </text>
    </comment>
    <comment ref="A11" authorId="0">
      <text>
        <r>
          <rPr>
            <sz val="10"/>
            <rFont val="Arial"/>
            <family val="2"/>
          </rPr>
          <t xml:space="preserve">Direct furnace CO2: 2.5-3.0 t/t CB. Source: recovered-carbon-black.com.</t>
        </r>
      </text>
    </comment>
    <comment ref="A12" authorId="0">
      <text>
        <r>
          <rPr>
            <sz val="10"/>
            <rFont val="Arial"/>
            <family val="2"/>
          </rPr>
          <t xml:space="preserve">Full LCA: 5.7 kg CO2 eq/kg CB. Source: ScienceDirect / PMC NCBI - Production and Upgrading of Recovered Carbon Black.</t>
        </r>
      </text>
    </comment>
    <comment ref="A28" authorId="0">
      <text>
        <r>
          <rPr>
            <sz val="10"/>
            <rFont val="Arial"/>
            <family val="2"/>
          </rPr>
          <t xml:space="preserve">Aggregate from Enviro, Pyrum, Monolith (post-pivot), Delta Energy, Tokai eCB, Cabot Atlanta. Per memo: ~3 MMT shortfall in 2030.</t>
        </r>
      </text>
    </comment>
  </commentList>
</comments>
</file>

<file path=xl/sharedStrings.xml><?xml version="1.0" encoding="utf-8"?>
<sst xmlns="http://schemas.openxmlformats.org/spreadsheetml/2006/main" count="454" uniqueCount="352">
  <si>
    <t xml:space="preserve">QUANTOM LLC — Economic &amp; Valuation Model</t>
  </si>
  <si>
    <t xml:space="preserve">Phased Commercialization · Tire Beachhead · Battery Expansion · DCF Valuation</t>
  </si>
  <si>
    <t xml:space="preserve">Prepared:</t>
  </si>
  <si>
    <t xml:space="preserve">May 17, 2026</t>
  </si>
  <si>
    <t xml:space="preserve">Author:</t>
  </si>
  <si>
    <t xml:space="preserve">Claude (analyst), for Austin Lin</t>
  </si>
  <si>
    <t xml:space="preserve">Scope:</t>
  </si>
  <si>
    <t xml:space="preserve">10-year base + terminal (2026–2035)</t>
  </si>
  <si>
    <t xml:space="preserve">Currency:</t>
  </si>
  <si>
    <t xml:space="preserve">USD (millions unless noted)</t>
  </si>
  <si>
    <t xml:space="preserve">MODEL ARCHITECTURE</t>
  </si>
  <si>
    <t xml:space="preserve">Sheet</t>
  </si>
  <si>
    <t xml:space="preserve">Purpose</t>
  </si>
  <si>
    <t xml:space="preserve">Assumptions</t>
  </si>
  <si>
    <t xml:space="preserve">All scenario inputs (blue). Toggle Bear/Base/Bull at top.</t>
  </si>
  <si>
    <t xml:space="preserve">TireMarket</t>
  </si>
  <si>
    <t xml:space="preserve">Global CB market sizing, Scope-3 emissions of incumbent suppliers, offset-credit value.</t>
  </si>
  <si>
    <t xml:space="preserve">BatteryMarket</t>
  </si>
  <si>
    <t xml:space="preserve">Hard-carbon + conductive-CB sizing (lower resolution per request).</t>
  </si>
  <si>
    <t xml:space="preserve">Revenue</t>
  </si>
  <si>
    <t xml:space="preserve">Phase 1 (sequestration + paid char), Phase 2 (JDA pilots + battery char), Phase 3 (license royalties + product).</t>
  </si>
  <si>
    <t xml:space="preserve">OpEx_CapEx</t>
  </si>
  <si>
    <t xml:space="preserve">Headcount, cost of carbon production, capex schedule.</t>
  </si>
  <si>
    <t xml:space="preserve">PnL_CF</t>
  </si>
  <si>
    <t xml:space="preserve">P&amp;L and free cash flow build.</t>
  </si>
  <si>
    <t xml:space="preserve">DCF_Valuation</t>
  </si>
  <si>
    <t xml:space="preserve">WACC, terminal value, probability-weighted enterprise value across scenarios.</t>
  </si>
  <si>
    <t xml:space="preserve">Sensitivity</t>
  </si>
  <si>
    <t xml:space="preserve">EV sensitivity to FE, credit price, and capture rate of sustainable CB gap.</t>
  </si>
  <si>
    <t xml:space="preserve">KEY OUTPUTS (cross-scenario, see DCF_Valuation for details)</t>
  </si>
  <si>
    <t xml:space="preserve">Metric</t>
  </si>
  <si>
    <t xml:space="preserve">Bear</t>
  </si>
  <si>
    <t xml:space="preserve">Base</t>
  </si>
  <si>
    <t xml:space="preserve">Bull</t>
  </si>
  <si>
    <t xml:space="preserve">Prob-Weighted</t>
  </si>
  <si>
    <t xml:space="preserve">2030 Revenue ($M)</t>
  </si>
  <si>
    <t xml:space="preserve">2035 Revenue ($M)</t>
  </si>
  <si>
    <t xml:space="preserve">2035 EBITDA ($M)</t>
  </si>
  <si>
    <t xml:space="preserve">Enterprise Value (unlevered DCF, $M)</t>
  </si>
  <si>
    <t xml:space="preserve">Implied EV / 2030 Revenue</t>
  </si>
  <si>
    <t xml:space="preserve">Probability of reaching commercial scale</t>
  </si>
  <si>
    <t xml:space="preserve">NOTE ON METHODOLOGY</t>
  </si>
  <si>
    <t xml:space="preserve">• Revenue is built bottom-up from physical reactor capacity (kg C/yr) × pricing per product line.</t>
  </si>
  <si>
    <t xml:space="preserve">• Each ton of solid C sequesters 3.67 t CO2 (perfect stoichiometric mass balance per Quantom deck v32).</t>
  </si>
  <si>
    <t xml:space="preserve">• Carbon credit pricing benchmarks to durable removal: CORC biochar €125-145, BECCS $350, DAC $500+. Quantom indexed between biochar and ERW.</t>
  </si>
  <si>
    <t xml:space="preserve">• Tire CB market size sourced from multiple 2025-2026 market reports: ~15 MMTPA / $25-29B global, ~70% tire (~10.5 MMTPA / $18B).</t>
  </si>
  <si>
    <t xml:space="preserve">• CB carbon footprint: 2.5 t CO2/t CB direct, ~5.7 t CO2/t CB cradle-to-gate (Sci Direct, PMC NCBI).</t>
  </si>
  <si>
    <t xml:space="preserve">• Probability weighting follows hardtech cleantech base rates (Bear 30% / Base 50% / Bull 20%).</t>
  </si>
  <si>
    <t xml:space="preserve">• License royalty model assumed for commercial phase: brownfield retrofit into existing CB producer plants (Cabot, Tokai, Birla, Orion).</t>
  </si>
  <si>
    <t xml:space="preserve">ASSUMPTIONS</t>
  </si>
  <si>
    <t xml:space="preserve">Blue cells = inputs. Edit Bear/Base/Bull columns to flex scenarios. The active scenario is set in cell C5.</t>
  </si>
  <si>
    <t xml:space="preserve">ACTIVE SCENARIO</t>
  </si>
  <si>
    <t xml:space="preserve">Scenario selector (Bear=1, Base=2, Bull=3):</t>
  </si>
  <si>
    <t xml:space="preserve">Parameter</t>
  </si>
  <si>
    <t xml:space="preserve">Unit / Note</t>
  </si>
  <si>
    <t xml:space="preserve">Active</t>
  </si>
  <si>
    <t xml:space="preserve">REACTOR &amp; PROCESS</t>
  </si>
  <si>
    <t xml:space="preserve">CO2:C stoichiometric ratio</t>
  </si>
  <si>
    <t xml:space="preserve">t CO2 / t C</t>
  </si>
  <si>
    <t xml:space="preserve">Faradaic efficiency (FE)</t>
  </si>
  <si>
    <t xml:space="preserve">%</t>
  </si>
  <si>
    <t xml:space="preserve">Electricity intensity</t>
  </si>
  <si>
    <t xml:space="preserve">MWh / t C produced</t>
  </si>
  <si>
    <t xml:space="preserve">Electricity price (green PPA)</t>
  </si>
  <si>
    <t xml:space="preserve">$/MWh</t>
  </si>
  <si>
    <t xml:space="preserve">CO2 capture &amp; delivery cost</t>
  </si>
  <si>
    <t xml:space="preserve">$/t CO2</t>
  </si>
  <si>
    <t xml:space="preserve">Capex per ton/yr installed capacity (commercial)</t>
  </si>
  <si>
    <t xml:space="preserve">$/(t/yr)</t>
  </si>
  <si>
    <t xml:space="preserve">Reactor uptime</t>
  </si>
  <si>
    <t xml:space="preserve">PRICING — REVENUE LINES</t>
  </si>
  <si>
    <t xml:space="preserve">Carbon credit price (durable CDR)</t>
  </si>
  <si>
    <t xml:space="preserve">$/t CO2 (initial)</t>
  </si>
  <si>
    <t xml:space="preserve">Credit price escalation</t>
  </si>
  <si>
    <t xml:space="preserve">%/yr</t>
  </si>
  <si>
    <t xml:space="preserve">Tire-grade sustainable CB price</t>
  </si>
  <si>
    <t xml:space="preserve">$/t (Phase 2 pilot)</t>
  </si>
  <si>
    <t xml:space="preserve">Tire-grade CB price (commercial license royalty rate)</t>
  </si>
  <si>
    <t xml:space="preserve">% of revenue</t>
  </si>
  <si>
    <t xml:space="preserve">Hard carbon (Na-ion) price</t>
  </si>
  <si>
    <t xml:space="preserve">$/t</t>
  </si>
  <si>
    <t xml:space="preserve">Conductive CB (Li-ion) price</t>
  </si>
  <si>
    <t xml:space="preserve">Activated carbon (PFAS-grade) price</t>
  </si>
  <si>
    <t xml:space="preserve">Reference: conventional furnace CB price</t>
  </si>
  <si>
    <t xml:space="preserve">JDA / CHARACTERIZATION FEE STRUCTURE</t>
  </si>
  <si>
    <t xml:space="preserve">Paid characterization JDA — tire major (Phase 1)</t>
  </si>
  <si>
    <t xml:space="preserve">$/yr per partner</t>
  </si>
  <si>
    <t xml:space="preserve">Number of tire JDAs in Phase 1 (cumulative by end-2028)</t>
  </si>
  <si>
    <t xml:space="preserve">count</t>
  </si>
  <si>
    <t xml:space="preserve">JDA pilot milestone payment — tire (Phase 2)</t>
  </si>
  <si>
    <t xml:space="preserve">$ one-time per partner</t>
  </si>
  <si>
    <t xml:space="preserve">Number of tire pilot JDAs (cumulative by end-2030)</t>
  </si>
  <si>
    <t xml:space="preserve">Paid characterization JDA — battery major</t>
  </si>
  <si>
    <t xml:space="preserve">Number of battery JDAs (cumulative by end-2030)</t>
  </si>
  <si>
    <t xml:space="preserve">CAPACITY RAMP — Solid Carbon Output (tons/yr)</t>
  </si>
  <si>
    <t xml:space="preserve">Year</t>
  </si>
  <si>
    <t xml:space="preserve">tons C/yr</t>
  </si>
  <si>
    <t xml:space="preserve">REVENUE-MIX SHARES (Phase 3 commercial allocation of carbon output)</t>
  </si>
  <si>
    <t xml:space="preserve">Product line</t>
  </si>
  <si>
    <t xml:space="preserve">Tire-grade sustainable CB (license royalty)</t>
  </si>
  <si>
    <t xml:space="preserve">Hard carbon — sodium-ion battery anodes</t>
  </si>
  <si>
    <t xml:space="preserve">Conductive CB — Li-ion batteries</t>
  </si>
  <si>
    <t xml:space="preserve">Activated carbon — PFAS water treatment</t>
  </si>
  <si>
    <t xml:space="preserve">Specialty / aerospace / graphene (premium)</t>
  </si>
  <si>
    <t xml:space="preserve">Mix total (must = 100%)</t>
  </si>
  <si>
    <t xml:space="preserve">DCF / VALUATION</t>
  </si>
  <si>
    <t xml:space="preserve">WACC</t>
  </si>
  <si>
    <t xml:space="preserve">Terminal growth rate (Gordon)</t>
  </si>
  <si>
    <t xml:space="preserve">Terminal-year EBITDA multiple (alt)</t>
  </si>
  <si>
    <t xml:space="preserve">x</t>
  </si>
  <si>
    <t xml:space="preserve">TIRE INDUSTRY — MARKET SIZING &amp; INCUMBENT CARBON FOOTPRINT</t>
  </si>
  <si>
    <t xml:space="preserve">Who supplies the tire industry today, what does that carbon black cost, and what is the embedded CO2 that needs to be offset.</t>
  </si>
  <si>
    <t xml:space="preserve">GLOBAL CARBON BLACK MARKET — 2025</t>
  </si>
  <si>
    <t xml:space="preserve">Global CB production volume</t>
  </si>
  <si>
    <t xml:space="preserve">MMTPA</t>
  </si>
  <si>
    <t xml:space="preserve">Global CB market value</t>
  </si>
  <si>
    <t xml:space="preserve">$B</t>
  </si>
  <si>
    <t xml:space="preserve">Tire share of CB demand</t>
  </si>
  <si>
    <t xml:space="preserve">Tire CB volume (derived)</t>
  </si>
  <si>
    <t xml:space="preserve">Tire CB market value (derived)</t>
  </si>
  <si>
    <t xml:space="preserve">Avg conventional furnace CB price</t>
  </si>
  <si>
    <t xml:space="preserve">$/kg</t>
  </si>
  <si>
    <t xml:space="preserve">Cradle-to-gate CO2 intensity (furnace CB)</t>
  </si>
  <si>
    <t xml:space="preserve">t CO2 / t CB (Scope 1+2)</t>
  </si>
  <si>
    <t xml:space="preserve">Full LCA CO2 intensity (cradle-to-gate)</t>
  </si>
  <si>
    <t xml:space="preserve">t CO2 eq / t CB (Sci Direct PMC)</t>
  </si>
  <si>
    <t xml:space="preserve">TOP 5 TIRE MAJORS — VOLUME, SUPPLIERS, SCOPE-3 CARBON FOOTPRINT</t>
  </si>
  <si>
    <t xml:space="preserve">Maker</t>
  </si>
  <si>
    <t xml:space="preserve">Global tire mkt share</t>
  </si>
  <si>
    <t xml:space="preserve">Implied tire CB demand (kt/yr)</t>
  </si>
  <si>
    <t xml:space="preserve">Current CB supplier(s)</t>
  </si>
  <si>
    <t xml:space="preserve">2030 sustainable target</t>
  </si>
  <si>
    <t xml:space="preserve">Embedded CO2 to offset (kt/yr, full LCA)</t>
  </si>
  <si>
    <t xml:space="preserve">$ offset value @ $250/t ($M/yr)</t>
  </si>
  <si>
    <t xml:space="preserve">Michelin</t>
  </si>
  <si>
    <t xml:space="preserve">Cabot, Birla, Enviro (rCB), Pyrowave</t>
  </si>
  <si>
    <t xml:space="preserve">Bridgestone</t>
  </si>
  <si>
    <t xml:space="preserve">Tokai Carbon, Cabot, Delta Energy</t>
  </si>
  <si>
    <t xml:space="preserve">Goodyear</t>
  </si>
  <si>
    <t xml:space="preserve">Monolith (methane pyrolysis), Cabot, Orion</t>
  </si>
  <si>
    <t xml:space="preserve">Continental</t>
  </si>
  <si>
    <t xml:space="preserve">Pyrum (rCB), Orion, LANXESS Scopeblue</t>
  </si>
  <si>
    <t xml:space="preserve">Pirelli</t>
  </si>
  <si>
    <t xml:space="preserve">ELT-pyrolysis CB, Cabot, Birla</t>
  </si>
  <si>
    <t xml:space="preserve">Big-5 Total</t>
  </si>
  <si>
    <t xml:space="preserve">Rest of industry (Hankook, Sumitomo, Yokohama, Toyo, Kumho, Cooper, Nokian, BKT, Apollo, MRF, Linglong, ZC, etc.)</t>
  </si>
  <si>
    <t xml:space="preserve">Tire industry TOTAL</t>
  </si>
  <si>
    <t xml:space="preserve">SUSTAINABLE CB SUPPLY GAP — 2030</t>
  </si>
  <si>
    <t xml:space="preserve">Industry-weighted 2030 sustainable target</t>
  </si>
  <si>
    <t xml:space="preserve">2030 sustainable CB demand from Big-5</t>
  </si>
  <si>
    <t xml:space="preserve">kt/yr (need this much sustainable CB)</t>
  </si>
  <si>
    <t xml:space="preserve">Currently-known sustainable supply (rCB + plasma + bio)</t>
  </si>
  <si>
    <t xml:space="preserve">kt/yr (rCB ~600kt, plasma ~150kt, bio ~50kt)</t>
  </si>
  <si>
    <t xml:space="preserve">SUPPLY GAP — Big-5 only</t>
  </si>
  <si>
    <t xml:space="preserve">kt/yr available for new entrants like Quantom</t>
  </si>
  <si>
    <t xml:space="preserve">Implied dollar value of supply gap @ tire CB price</t>
  </si>
  <si>
    <t xml:space="preserve">$M/yr addressable for Big-5 alone</t>
  </si>
  <si>
    <t xml:space="preserve">WHO IS SUPPLYING TIRE CB NOW — and what each unit emits</t>
  </si>
  <si>
    <t xml:space="preserve">Producer</t>
  </si>
  <si>
    <t xml:space="preserve">Type</t>
  </si>
  <si>
    <t xml:space="preserve">Capacity (kt/yr)</t>
  </si>
  <si>
    <t xml:space="preserve">List price ($/t)</t>
  </si>
  <si>
    <t xml:space="preserve">CO2 intensity (t/t)</t>
  </si>
  <si>
    <t xml:space="preserve">Embedded CO2 (kt/yr)</t>
  </si>
  <si>
    <t xml:space="preserve">Offset $ @ Base price ($M/yr)</t>
  </si>
  <si>
    <t xml:space="preserve">Cabot Corporation</t>
  </si>
  <si>
    <t xml:space="preserve">Furnace (incl. Bridgestone Mexico acq Aug 2025)</t>
  </si>
  <si>
    <t xml:space="preserve">Birla Carbon</t>
  </si>
  <si>
    <t xml:space="preserve">Furnace + Continua (rCB blend)</t>
  </si>
  <si>
    <t xml:space="preserve">Orion Engineered Carbons</t>
  </si>
  <si>
    <t xml:space="preserve">Furnace + Alpha Carbone pyro-oil offtake</t>
  </si>
  <si>
    <t xml:space="preserve">Tokai Carbon (incl. BSCB acq)</t>
  </si>
  <si>
    <t xml:space="preserve">Furnace + ISCC PLUS + eCB JV</t>
  </si>
  <si>
    <t xml:space="preserve">OCI / PCBL / Continental Carbon / Omsk</t>
  </si>
  <si>
    <t xml:space="preserve">Furnace</t>
  </si>
  <si>
    <t xml:space="preserve">Monolith Materials</t>
  </si>
  <si>
    <t xml:space="preserve">Methane/HFO pyrolysis (Goodyear partner)</t>
  </si>
  <si>
    <t xml:space="preserve">Enviro / Pyrum / Delta / Scandinavian</t>
  </si>
  <si>
    <t xml:space="preserve">rCB from ELT pyrolysis</t>
  </si>
  <si>
    <t xml:space="preserve">Producer Total (~tire-grade tracked)</t>
  </si>
  <si>
    <t xml:space="preserve">BATTERY MATERIALS — SIZING (lower resolution per user request)</t>
  </si>
  <si>
    <t xml:space="preserve">EU Battery Regulation 2023/1542 creates binding CF declarations from 2026, max-CF thresholds from 2030.</t>
  </si>
  <si>
    <t xml:space="preserve">HARD CARBON (Na-ion anodes)</t>
  </si>
  <si>
    <t xml:space="preserve">Global Na-ion battery cell production 2025</t>
  </si>
  <si>
    <t xml:space="preserve">GWh/yr</t>
  </si>
  <si>
    <t xml:space="preserve">Hard carbon loading per GWh</t>
  </si>
  <si>
    <t xml:space="preserve">t/GWh</t>
  </si>
  <si>
    <t xml:space="preserve">Implied hard carbon demand 2025</t>
  </si>
  <si>
    <t xml:space="preserve">t/yr</t>
  </si>
  <si>
    <t xml:space="preserve">Projected demand 2030</t>
  </si>
  <si>
    <t xml:space="preserve">t/yr (CATL+BYD roadmap implied)</t>
  </si>
  <si>
    <t xml:space="preserve">Kuraray Kuranode reference price</t>
  </si>
  <si>
    <t xml:space="preserve">$/t (Type 2 premium)</t>
  </si>
  <si>
    <t xml:space="preserve">Implied 2030 hard carbon market</t>
  </si>
  <si>
    <t xml:space="preserve">$M/yr</t>
  </si>
  <si>
    <t xml:space="preserve">CONDUCTIVE CARBON BLACK (Li-ion electrodes)</t>
  </si>
  <si>
    <t xml:space="preserve">Global Li-ion cell production 2025</t>
  </si>
  <si>
    <t xml:space="preserve">Conductive CB loading per GWh</t>
  </si>
  <si>
    <t xml:space="preserve">t/GWh (1-3% of electrode mass)</t>
  </si>
  <si>
    <t xml:space="preserve">Implied conductive CB demand 2025</t>
  </si>
  <si>
    <t xml:space="preserve">Projected demand 2030 (5,500 GWh)</t>
  </si>
  <si>
    <t xml:space="preserve">Specialty conductive CB price</t>
  </si>
  <si>
    <t xml:space="preserve">Implied 2030 conductive CB market</t>
  </si>
  <si>
    <t xml:space="preserve">TOTAL BATTERY-CARBON ADDRESSABLE MARKET 2030</t>
  </si>
  <si>
    <t xml:space="preserve">Combined hard-carbon + conductive-CB TAM</t>
  </si>
  <si>
    <t xml:space="preserve">NOTES</t>
  </si>
  <si>
    <t xml:space="preserve">• Na-ion market is the fastest-growing batt-materials line; CATL gen-2 announced April 2024, IRENA projects $40/kWh cell cost.</t>
  </si>
  <si>
    <t xml:space="preserve">• EU Battery Regulation makes per-component CF declaration mandatory Feb 2026 (EV) / Feb 2027 (industrial passport).</t>
  </si>
  <si>
    <t xml:space="preserve">• Quantom angle: CO2-feedstock alternative to coconut-shell (Kuraray) and lignin (Stora Enso) precursors with negative CF.</t>
  </si>
  <si>
    <t xml:space="preserve">• Lower resolution intentional per user request — tire is the priority market for this model.</t>
  </si>
  <si>
    <t xml:space="preserve">REVENUE MODEL — Active Scenario</t>
  </si>
  <si>
    <t xml:space="preserve">Phase 1 (2027-2028): Sequestration credits + paid characterization.   Phase 2 (2028-2030): JDA pilot plants + battery characterization.   Phase 3 (2030+): License royalties + battery materials + premium specialty.</t>
  </si>
  <si>
    <t xml:space="preserve">Units</t>
  </si>
  <si>
    <t xml:space="preserve">PHYSICAL OUTPUT</t>
  </si>
  <si>
    <t xml:space="preserve">Solid carbon production</t>
  </si>
  <si>
    <t xml:space="preserve">t C/yr</t>
  </si>
  <si>
    <t xml:space="preserve">CO2 sequestered (3.67x output)</t>
  </si>
  <si>
    <t xml:space="preserve">t CO2/yr</t>
  </si>
  <si>
    <t xml:space="preserve">PRICING (escalating)</t>
  </si>
  <si>
    <t xml:space="preserve">Credit price ($/t CO2)</t>
  </si>
  <si>
    <t xml:space="preserve">Tire-grade CB price ($/t)</t>
  </si>
  <si>
    <t xml:space="preserve">Hard carbon price ($/t)</t>
  </si>
  <si>
    <t xml:space="preserve">Conductive CB price ($/t)</t>
  </si>
  <si>
    <t xml:space="preserve">Activated carbon price ($/t)</t>
  </si>
  <si>
    <t xml:space="preserve">REVENUE — PHASE 1: SEQUESTRATION + CHARACTERIZATION</t>
  </si>
  <si>
    <t xml:space="preserve">Carbon credit revenue</t>
  </si>
  <si>
    <t xml:space="preserve">$M</t>
  </si>
  <si>
    <t xml:space="preserve">Tire characterization JDA revenue</t>
  </si>
  <si>
    <t xml:space="preserve">Battery characterization JDA revenue</t>
  </si>
  <si>
    <t xml:space="preserve">REVENUE — PHASE 2: JDA PILOT MILESTONES</t>
  </si>
  <si>
    <t xml:space="preserve">Tire pilot JDA milestone revenue</t>
  </si>
  <si>
    <t xml:space="preserve">REVENUE — PHASE 3: COMMERCIAL PRODUCT / LICENSE ROYALTIES</t>
  </si>
  <si>
    <t xml:space="preserve">Tire-grade CB revenue (royalty/sales)</t>
  </si>
  <si>
    <t xml:space="preserve">Hard carbon (Na-ion) revenue</t>
  </si>
  <si>
    <t xml:space="preserve">Conductive CB (Li-ion) revenue</t>
  </si>
  <si>
    <t xml:space="preserve">Activated carbon (PFAS) revenue</t>
  </si>
  <si>
    <t xml:space="preserve">Specialty / aerospace / graphene revenue</t>
  </si>
  <si>
    <t xml:space="preserve">TOTAL REVENUE</t>
  </si>
  <si>
    <t xml:space="preserve">REVENUE COMPOSITION</t>
  </si>
  <si>
    <t xml:space="preserve">Credits</t>
  </si>
  <si>
    <t xml:space="preserve">% of total</t>
  </si>
  <si>
    <t xml:space="preserve">JDA fees</t>
  </si>
  <si>
    <t xml:space="preserve">Pilot sales / milestone</t>
  </si>
  <si>
    <t xml:space="preserve">Product / royalty (commercial)</t>
  </si>
  <si>
    <t xml:space="preserve">OPERATING COSTS &amp; CAPEX — Active Scenario</t>
  </si>
  <si>
    <t xml:space="preserve">COGS scales with carbon production. SG&amp;A and R&amp;D track headcount. Capex steps with capacity expansions.</t>
  </si>
  <si>
    <t xml:space="preserve">COGS — VARIABLE COSTS PER TON CARBON</t>
  </si>
  <si>
    <t xml:space="preserve">Electricity cost ($/t C produced)</t>
  </si>
  <si>
    <t xml:space="preserve">$/t C</t>
  </si>
  <si>
    <t xml:space="preserve">CO2 feedstock cost ($/t C produced)</t>
  </si>
  <si>
    <t xml:space="preserve">Other consumables (catalyst, electrolyte, labor)</t>
  </si>
  <si>
    <t xml:space="preserve">Total variable cost ($/t C)</t>
  </si>
  <si>
    <t xml:space="preserve">COGS ($M)</t>
  </si>
  <si>
    <t xml:space="preserve">HEADCOUNT &amp; PERSONNEL</t>
  </si>
  <si>
    <t xml:space="preserve">Headcount (FTE)</t>
  </si>
  <si>
    <t xml:space="preserve">Fully-loaded comp per FTE</t>
  </si>
  <si>
    <t xml:space="preserve">$K/yr</t>
  </si>
  <si>
    <t xml:space="preserve">Personnel cost ($M)</t>
  </si>
  <si>
    <t xml:space="preserve">OTHER OPERATING EXPENSES</t>
  </si>
  <si>
    <t xml:space="preserve">R&amp;D (non-personnel) ($M)</t>
  </si>
  <si>
    <t xml:space="preserve">G&amp;A and facilities ($M)</t>
  </si>
  <si>
    <t xml:space="preserve">TOTAL OPEX ($M)</t>
  </si>
  <si>
    <t xml:space="preserve">CAPEX</t>
  </si>
  <si>
    <t xml:space="preserve">Capex ($M)</t>
  </si>
  <si>
    <t xml:space="preserve">Cumulative capex ($M)</t>
  </si>
  <si>
    <t xml:space="preserve">Depreciation (10-yr SL) ($M)</t>
  </si>
  <si>
    <t xml:space="preserve">INCOME STATEMENT &amp; FREE CASH FLOW</t>
  </si>
  <si>
    <t xml:space="preserve">Active scenario. Tax rate applied to positive EBIT only.</t>
  </si>
  <si>
    <t xml:space="preserve">Line</t>
  </si>
  <si>
    <t xml:space="preserve">INCOME STATEMENT</t>
  </si>
  <si>
    <t xml:space="preserve">Cost of goods sold</t>
  </si>
  <si>
    <t xml:space="preserve">Gross profit</t>
  </si>
  <si>
    <t xml:space="preserve">Gross margin %</t>
  </si>
  <si>
    <t xml:space="preserve">Operating expenses (R&amp;D, SG&amp;A, personnel)</t>
  </si>
  <si>
    <t xml:space="preserve">EBITDA</t>
  </si>
  <si>
    <t xml:space="preserve">EBITDA margin %</t>
  </si>
  <si>
    <t xml:space="preserve">Depreciation &amp; amortization</t>
  </si>
  <si>
    <t xml:space="preserve">EBIT (operating income)</t>
  </si>
  <si>
    <t xml:space="preserve">Tax (21% on positive EBIT)</t>
  </si>
  <si>
    <t xml:space="preserve">Net income</t>
  </si>
  <si>
    <t xml:space="preserve">FREE CASH FLOW BUILD</t>
  </si>
  <si>
    <t xml:space="preserve">EBIT (1 - tax rate)</t>
  </si>
  <si>
    <t xml:space="preserve">Plus: D&amp;A (non-cash)</t>
  </si>
  <si>
    <t xml:space="preserve">Less: Capex</t>
  </si>
  <si>
    <t xml:space="preserve">Less: Change in NWC (10% of incremental revenue)</t>
  </si>
  <si>
    <t xml:space="preserve">Unlevered Free Cash Flow</t>
  </si>
  <si>
    <t xml:space="preserve">DCF VALUATION — Three-Scenario Sweep + Probability Weighting</t>
  </si>
  <si>
    <t xml:space="preserve">Each scenario is run by temporarily toggling Assumptions!C5. Here we pull the active scenario into the right column and compute EV via Gordon-growth and exit-multiple methods.</t>
  </si>
  <si>
    <t xml:space="preserve">Active scenario result</t>
  </si>
  <si>
    <t xml:space="preserve">Bear (manual)</t>
  </si>
  <si>
    <t xml:space="preserve">Base (manual)</t>
  </si>
  <si>
    <t xml:space="preserve">Bull (manual)</t>
  </si>
  <si>
    <t xml:space="preserve">Prob-weighted</t>
  </si>
  <si>
    <t xml:space="preserve">Notes</t>
  </si>
  <si>
    <t xml:space="preserve">Enterprise Value ($M)</t>
  </si>
  <si>
    <t xml:space="preserve">EV / 2030 Revenue</t>
  </si>
  <si>
    <t xml:space="preserve">DCF MECHANICS (active scenario)</t>
  </si>
  <si>
    <t xml:space="preserve">Terminal growth (g)</t>
  </si>
  <si>
    <t xml:space="preserve">Terminal year (2035)</t>
  </si>
  <si>
    <t xml:space="preserve">Terminal FCF (2035)</t>
  </si>
  <si>
    <t xml:space="preserve">Terminal Value (Gordon)</t>
  </si>
  <si>
    <t xml:space="preserve">PV factor for year t (t = year - 2025)</t>
  </si>
  <si>
    <t xml:space="preserve">2026</t>
  </si>
  <si>
    <t xml:space="preserve">2027</t>
  </si>
  <si>
    <t xml:space="preserve">2028</t>
  </si>
  <si>
    <t xml:space="preserve">2029</t>
  </si>
  <si>
    <t xml:space="preserve">2030</t>
  </si>
  <si>
    <t xml:space="preserve">2031</t>
  </si>
  <si>
    <t xml:space="preserve">2032</t>
  </si>
  <si>
    <t xml:space="preserve">2033</t>
  </si>
  <si>
    <t xml:space="preserve">2034</t>
  </si>
  <si>
    <t xml:space="preserve">2035</t>
  </si>
  <si>
    <t xml:space="preserve">t (years from 2025)</t>
  </si>
  <si>
    <t xml:space="preserve">FCF ($M)</t>
  </si>
  <si>
    <t xml:space="preserve">Discount factor</t>
  </si>
  <si>
    <t xml:space="preserve">PV of FCF ($M)</t>
  </si>
  <si>
    <t xml:space="preserve">Sum of PV of FCF</t>
  </si>
  <si>
    <t xml:space="preserve">PV of Terminal Value</t>
  </si>
  <si>
    <t xml:space="preserve">Enterprise Value (active scenario)</t>
  </si>
  <si>
    <t xml:space="preserve">ALT METHOD: Exit Multiple</t>
  </si>
  <si>
    <t xml:space="preserve">2035 EBITDA</t>
  </si>
  <si>
    <t xml:space="preserve">Exit multiple (EV/EBITDA)</t>
  </si>
  <si>
    <t xml:space="preserve">Terminal EV at exit</t>
  </si>
  <si>
    <t xml:space="preserve">PV of terminal EV</t>
  </si>
  <si>
    <t xml:space="preserve">EV (Exit Multiple method)</t>
  </si>
  <si>
    <t xml:space="preserve">PROBABILITY WEIGHTING</t>
  </si>
  <si>
    <t xml:space="preserve">To populate the cross-scenario columns C-E, manually toggle Assumptions!C5 (1=Bear, 2=Base, 3=Bull) and paste the active EV values into the table at top.</t>
  </si>
  <si>
    <t xml:space="preserve">PRE-COMPUTED SCENARIO RESULTS (hardcoded once via Python execution)</t>
  </si>
  <si>
    <t xml:space="preserve">Scenario</t>
  </si>
  <si>
    <t xml:space="preserve">2030 EBITDA ($M)</t>
  </si>
  <si>
    <t xml:space="preserve">EV (DCF) ($M)</t>
  </si>
  <si>
    <t xml:space="preserve">EV / 2030 Rev</t>
  </si>
  <si>
    <t xml:space="preserve">Probability-weighted</t>
  </si>
  <si>
    <t xml:space="preserve">SENSITIVITY — Active scenario EV impact</t>
  </si>
  <si>
    <t xml:space="preserve">How EV moves when you flex Faradaic Efficiency, credit price, and adoption rate. Use these levers to interrogate the model.</t>
  </si>
  <si>
    <t xml:space="preserve">EV ($M) by FE x Credit Price</t>
  </si>
  <si>
    <t xml:space="preserve">FE  /  Credit Price →</t>
  </si>
  <si>
    <t xml:space="preserve">EV ($M) by % of Big-5 tire shortfall captured by Quantom 2030</t>
  </si>
  <si>
    <t xml:space="preserve">% of 2030 supply gap captured</t>
  </si>
  <si>
    <t xml:space="preserve">0.25%</t>
  </si>
  <si>
    <t xml:space="preserve">0.50%</t>
  </si>
  <si>
    <t xml:space="preserve">1.00%</t>
  </si>
  <si>
    <t xml:space="preserve">2.00%</t>
  </si>
  <si>
    <t xml:space="preserve">5.00%</t>
  </si>
  <si>
    <t xml:space="preserve">Quantom 2030 t C/yr (sustainable CB)</t>
  </si>
  <si>
    <t xml:space="preserve">EV scaling factor (linear w/ output)</t>
  </si>
  <si>
    <t xml:space="preserve">Implied EV ($M)</t>
  </si>
  <si>
    <t xml:space="preserve">INTERPRETATION</t>
  </si>
  <si>
    <t xml:space="preserve">• FE doubling (from 30% to 60%) roughly doubles EV via output volume.</t>
  </si>
  <si>
    <t xml:space="preserve">• Credit price doubling (from $150 to $300) adds ~30% to EV — credits matter most in early years.</t>
  </si>
  <si>
    <t xml:space="preserve">• Capturing 1% of the Big-5 sustainable CB gap (~30 kt/yr) is a roughly 4x EV uplift vs Base.</t>
  </si>
  <si>
    <t xml:space="preserve">• Approximations use power-law scaling. Re-run the full model with toggled inputs for precise figures.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</si>
</sst>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;&quot;($&quot;#,##0\);\-"/>
    <numFmt numFmtId="166" formatCode="0.00\x"/>
    <numFmt numFmtId="167" formatCode="0.0%;\(0.0%\);\-"/>
    <numFmt numFmtId="168" formatCode="#,##0;\(#,##0\);\-"/>
    <numFmt numFmtId="169" formatCode="#,##0.00"/>
    <numFmt numFmtId="170" formatCode="0"/>
    <numFmt numFmtId="171" formatCode="#,##0.0"/>
    <numFmt numFmtId="172" formatCode="\$#,##0.0"/>
    <numFmt numFmtId="173" formatCode="\$#,##0.00"/>
    <numFmt numFmtId="174" formatCode="#,##0"/>
    <numFmt numFmtId="175" formatCode="\$#,##0"/>
    <numFmt numFmtId="176" formatCode="0.000"/>
    <numFmt numFmtId="177" formatCode="\$#,##0;&quot;($&quot;#,##0\);\-"/>
    <numFmt numFmtId="178" formatCode="0.00\x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4E78"/>
      <name val="Arial"/>
      <family val="0"/>
      <charset val="1"/>
    </font>
    <font>
      <i val="true"/>
      <sz val="11"/>
      <color rgb="FF595959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8000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1"/>
      <name val="Arial"/>
      <family val="0"/>
      <charset val="1"/>
    </font>
    <font>
      <sz val="10"/>
      <name val="Arial"/>
      <family val="2"/>
    </font>
    <font>
      <sz val="10"/>
      <name val="Arial"/>
      <family val="0"/>
      <charset val="1"/>
    </font>
    <font>
      <b val="true"/>
      <sz val="11"/>
      <color rgb="FF1F4E7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E2EFDA"/>
      </patternFill>
    </fill>
    <fill>
      <patternFill patternType="solid">
        <fgColor rgb="FF1F4E78"/>
        <bgColor rgb="FF003366"/>
      </patternFill>
    </fill>
    <fill>
      <patternFill patternType="solid">
        <fgColor rgb="FFFFF2CC"/>
        <bgColor rgb="FFE2EFDA"/>
      </patternFill>
    </fill>
    <fill>
      <patternFill patternType="solid">
        <fgColor rgb="FFE2EFDA"/>
        <bgColor rgb="FFD9E1F2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10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4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6"/>
    <col collapsed="false" customWidth="true" hidden="false" outlineLevel="0" max="8" min="2" style="1" width="16"/>
  </cols>
  <sheetData>
    <row r="1" customFormat="false" ht="19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4" customFormat="false" ht="15" hidden="false" customHeight="true" outlineLevel="0" collapsed="false">
      <c r="A4" s="4" t="s">
        <v>2</v>
      </c>
      <c r="B4" s="1" t="s">
        <v>3</v>
      </c>
    </row>
    <row r="5" customFormat="false" ht="15" hidden="false" customHeight="true" outlineLevel="0" collapsed="false">
      <c r="A5" s="4" t="s">
        <v>4</v>
      </c>
      <c r="B5" s="1" t="s">
        <v>5</v>
      </c>
    </row>
    <row r="6" customFormat="false" ht="15" hidden="false" customHeight="true" outlineLevel="0" collapsed="false">
      <c r="A6" s="4" t="s">
        <v>6</v>
      </c>
      <c r="B6" s="1" t="s">
        <v>7</v>
      </c>
    </row>
    <row r="7" customFormat="false" ht="15" hidden="false" customHeight="true" outlineLevel="0" collapsed="false">
      <c r="A7" s="4" t="s">
        <v>8</v>
      </c>
      <c r="B7" s="1" t="s">
        <v>9</v>
      </c>
    </row>
    <row r="9" customFormat="false" ht="15" hidden="false" customHeight="true" outlineLevel="0" collapsed="false">
      <c r="A9" s="5" t="s">
        <v>10</v>
      </c>
      <c r="B9" s="5"/>
      <c r="C9" s="5"/>
      <c r="D9" s="5"/>
      <c r="E9" s="5"/>
      <c r="F9" s="5"/>
      <c r="G9" s="5"/>
      <c r="H9" s="5"/>
    </row>
    <row r="10" customFormat="false" ht="15" hidden="false" customHeight="true" outlineLevel="0" collapsed="false">
      <c r="A10" s="4" t="s">
        <v>11</v>
      </c>
      <c r="B10" s="4" t="s">
        <v>12</v>
      </c>
    </row>
    <row r="11" customFormat="false" ht="15" hidden="false" customHeight="true" outlineLevel="0" collapsed="false">
      <c r="A11" s="1" t="s">
        <v>13</v>
      </c>
      <c r="B11" s="1" t="s">
        <v>14</v>
      </c>
    </row>
    <row r="12" customFormat="false" ht="15" hidden="false" customHeight="true" outlineLevel="0" collapsed="false">
      <c r="A12" s="1" t="s">
        <v>15</v>
      </c>
      <c r="B12" s="1" t="s">
        <v>16</v>
      </c>
    </row>
    <row r="13" customFormat="false" ht="15" hidden="false" customHeight="true" outlineLevel="0" collapsed="false">
      <c r="A13" s="1" t="s">
        <v>17</v>
      </c>
      <c r="B13" s="1" t="s">
        <v>18</v>
      </c>
    </row>
    <row r="14" customFormat="false" ht="15" hidden="false" customHeight="true" outlineLevel="0" collapsed="false">
      <c r="A14" s="1" t="s">
        <v>19</v>
      </c>
      <c r="B14" s="1" t="s">
        <v>20</v>
      </c>
    </row>
    <row r="15" customFormat="false" ht="15" hidden="false" customHeight="true" outlineLevel="0" collapsed="false">
      <c r="A15" s="1" t="s">
        <v>21</v>
      </c>
      <c r="B15" s="1" t="s">
        <v>22</v>
      </c>
    </row>
    <row r="16" customFormat="false" ht="15" hidden="false" customHeight="true" outlineLevel="0" collapsed="false">
      <c r="A16" s="1" t="s">
        <v>23</v>
      </c>
      <c r="B16" s="1" t="s">
        <v>24</v>
      </c>
    </row>
    <row r="17" customFormat="false" ht="15" hidden="false" customHeight="true" outlineLevel="0" collapsed="false">
      <c r="A17" s="1" t="s">
        <v>25</v>
      </c>
      <c r="B17" s="1" t="s">
        <v>26</v>
      </c>
    </row>
    <row r="18" customFormat="false" ht="15" hidden="false" customHeight="true" outlineLevel="0" collapsed="false">
      <c r="A18" s="1" t="s">
        <v>27</v>
      </c>
      <c r="B18" s="1" t="s">
        <v>28</v>
      </c>
    </row>
    <row r="22" customFormat="false" ht="15" hidden="false" customHeight="true" outlineLevel="0" collapsed="false">
      <c r="A22" s="5" t="s">
        <v>29</v>
      </c>
      <c r="B22" s="5"/>
      <c r="C22" s="5"/>
      <c r="D22" s="5"/>
      <c r="E22" s="5"/>
      <c r="F22" s="5"/>
      <c r="G22" s="5"/>
      <c r="H22" s="5"/>
    </row>
    <row r="23" customFormat="false" ht="15" hidden="false" customHeight="true" outlineLevel="0" collapsed="false">
      <c r="A23" s="6" t="s">
        <v>30</v>
      </c>
      <c r="B23" s="6" t="s">
        <v>31</v>
      </c>
      <c r="C23" s="6" t="s">
        <v>32</v>
      </c>
      <c r="D23" s="6" t="s">
        <v>33</v>
      </c>
      <c r="E23" s="6" t="s">
        <v>34</v>
      </c>
    </row>
    <row r="24" customFormat="false" ht="15" hidden="false" customHeight="true" outlineLevel="0" collapsed="false">
      <c r="A24" s="1" t="s">
        <v>35</v>
      </c>
      <c r="B24" s="7" t="n">
        <f aca="false">DCF_Valuation!C7</f>
        <v>2.937097502</v>
      </c>
      <c r="C24" s="7" t="n">
        <f aca="false">DCF_Valuation!D7</f>
        <v>26.06030234375</v>
      </c>
      <c r="D24" s="7" t="n">
        <f aca="false">DCF_Valuation!E7</f>
        <v>142.036057728</v>
      </c>
      <c r="E24" s="7" t="n">
        <f aca="false">DCF_Valuation!F7</f>
        <v>42.318491968075</v>
      </c>
    </row>
    <row r="25" customFormat="false" ht="15" hidden="false" customHeight="true" outlineLevel="0" collapsed="false">
      <c r="A25" s="1" t="s">
        <v>36</v>
      </c>
      <c r="B25" s="7" t="n">
        <f aca="false">DCF_Valuation!C8</f>
        <v>169.049969784835</v>
      </c>
      <c r="C25" s="7" t="n">
        <f aca="false">DCF_Valuation!D8</f>
        <v>1238.36088327088</v>
      </c>
      <c r="D25" s="7" t="n">
        <f aca="false">DCF_Valuation!E8</f>
        <v>6696.3205258908</v>
      </c>
      <c r="E25" s="7" t="n">
        <f aca="false">DCF_Valuation!F8</f>
        <v>2009.15953774905</v>
      </c>
    </row>
    <row r="26" customFormat="false" ht="15" hidden="false" customHeight="true" outlineLevel="0" collapsed="false">
      <c r="A26" s="1" t="s">
        <v>37</v>
      </c>
      <c r="B26" s="7" t="n">
        <f aca="false">DCF_Valuation!C9</f>
        <v>14.6419697848349</v>
      </c>
      <c r="C26" s="7" t="n">
        <f aca="false">DCF_Valuation!D9</f>
        <v>1002.53688327088</v>
      </c>
      <c r="D26" s="7" t="n">
        <f aca="false">DCF_Valuation!E9</f>
        <v>6288.8655258908</v>
      </c>
      <c r="E26" s="7" t="n">
        <f aca="false">DCF_Valuation!F9</f>
        <v>1763.43413774905</v>
      </c>
    </row>
    <row r="27" customFormat="false" ht="15" hidden="false" customHeight="true" outlineLevel="0" collapsed="false">
      <c r="A27" s="1" t="s">
        <v>38</v>
      </c>
      <c r="B27" s="7" t="n">
        <f aca="false">DCF_Valuation!C10</f>
        <v>-133.762737469998</v>
      </c>
      <c r="C27" s="7" t="n">
        <f aca="false">DCF_Valuation!D10</f>
        <v>467.205734214151</v>
      </c>
      <c r="D27" s="7" t="n">
        <f aca="false">DCF_Valuation!E10</f>
        <v>6886.03021494279</v>
      </c>
      <c r="E27" s="7" t="n">
        <f aca="false">DCF_Valuation!F10</f>
        <v>1570.68008885463</v>
      </c>
    </row>
    <row r="28" customFormat="false" ht="15" hidden="false" customHeight="true" outlineLevel="0" collapsed="false">
      <c r="A28" s="1" t="s">
        <v>39</v>
      </c>
      <c r="B28" s="8" t="n">
        <f aca="false">DCF_Valuation!C11</f>
        <v>-45.5424913129077</v>
      </c>
      <c r="C28" s="8" t="n">
        <f aca="false">DCF_Valuation!D11</f>
        <v>17.9278708301786</v>
      </c>
      <c r="D28" s="8" t="n">
        <f aca="false">DCF_Valuation!E11</f>
        <v>48.4808598963623</v>
      </c>
      <c r="E28" s="8" t="n">
        <f aca="false">DCF_Valuation!F11</f>
        <v>37.1156914107325</v>
      </c>
    </row>
    <row r="29" customFormat="false" ht="15" hidden="false" customHeight="true" outlineLevel="0" collapsed="false">
      <c r="A29" s="1" t="s">
        <v>40</v>
      </c>
      <c r="B29" s="9" t="n">
        <f aca="false">Assumptions!C40</f>
        <v>100</v>
      </c>
      <c r="C29" s="9" t="n">
        <f aca="false">Assumptions!D40</f>
        <v>400</v>
      </c>
      <c r="D29" s="9" t="n">
        <f aca="false">Assumptions!E40</f>
        <v>1200</v>
      </c>
      <c r="E29" s="9"/>
    </row>
    <row r="31" customFormat="false" ht="15" hidden="false" customHeight="true" outlineLevel="0" collapsed="false">
      <c r="A31" s="5" t="s">
        <v>41</v>
      </c>
      <c r="B31" s="5"/>
      <c r="C31" s="5"/>
      <c r="D31" s="5"/>
      <c r="E31" s="5"/>
      <c r="F31" s="5"/>
      <c r="G31" s="5"/>
      <c r="H31" s="5"/>
    </row>
    <row r="32" customFormat="false" ht="15" hidden="false" customHeight="true" outlineLevel="0" collapsed="false">
      <c r="A32" s="10" t="s">
        <v>42</v>
      </c>
      <c r="B32" s="10"/>
      <c r="C32" s="10"/>
      <c r="D32" s="10"/>
      <c r="E32" s="10"/>
      <c r="F32" s="10"/>
      <c r="G32" s="10"/>
      <c r="H32" s="10"/>
    </row>
    <row r="33" customFormat="false" ht="15" hidden="false" customHeight="true" outlineLevel="0" collapsed="false">
      <c r="A33" s="10" t="s">
        <v>43</v>
      </c>
      <c r="B33" s="10"/>
      <c r="C33" s="10"/>
      <c r="D33" s="10"/>
      <c r="E33" s="10"/>
      <c r="F33" s="10"/>
      <c r="G33" s="10"/>
      <c r="H33" s="10"/>
    </row>
    <row r="34" customFormat="false" ht="15" hidden="false" customHeight="true" outlineLevel="0" collapsed="false">
      <c r="A34" s="10" t="s">
        <v>44</v>
      </c>
      <c r="B34" s="10"/>
      <c r="C34" s="10"/>
      <c r="D34" s="10"/>
      <c r="E34" s="10"/>
      <c r="F34" s="10"/>
      <c r="G34" s="10"/>
      <c r="H34" s="10"/>
    </row>
    <row r="35" customFormat="false" ht="15" hidden="false" customHeight="true" outlineLevel="0" collapsed="false">
      <c r="A35" s="10" t="s">
        <v>45</v>
      </c>
      <c r="B35" s="10"/>
      <c r="C35" s="10"/>
      <c r="D35" s="10"/>
      <c r="E35" s="10"/>
      <c r="F35" s="10"/>
      <c r="G35" s="10"/>
      <c r="H35" s="10"/>
    </row>
    <row r="36" customFormat="false" ht="15" hidden="false" customHeight="true" outlineLevel="0" collapsed="false">
      <c r="A36" s="10" t="s">
        <v>46</v>
      </c>
      <c r="B36" s="10"/>
      <c r="C36" s="10"/>
      <c r="D36" s="10"/>
      <c r="E36" s="10"/>
      <c r="F36" s="10"/>
      <c r="G36" s="10"/>
      <c r="H36" s="10"/>
    </row>
    <row r="37" customFormat="false" ht="15" hidden="false" customHeight="true" outlineLevel="0" collapsed="false">
      <c r="A37" s="10" t="s">
        <v>47</v>
      </c>
      <c r="B37" s="10"/>
      <c r="C37" s="10"/>
      <c r="D37" s="10"/>
      <c r="E37" s="10"/>
      <c r="F37" s="10"/>
      <c r="G37" s="10"/>
      <c r="H37" s="10"/>
    </row>
    <row r="38" customFormat="false" ht="15" hidden="false" customHeight="true" outlineLevel="0" collapsed="false">
      <c r="A38" s="10" t="s">
        <v>48</v>
      </c>
      <c r="B38" s="10"/>
      <c r="C38" s="10"/>
      <c r="D38" s="10"/>
      <c r="E38" s="10"/>
      <c r="F38" s="10"/>
      <c r="G38" s="10"/>
      <c r="H38" s="10"/>
    </row>
  </sheetData>
  <mergeCells count="12">
    <mergeCell ref="A1:H1"/>
    <mergeCell ref="A2:H2"/>
    <mergeCell ref="A9:H9"/>
    <mergeCell ref="A22:H22"/>
    <mergeCell ref="A31:H31"/>
    <mergeCell ref="A32:H32"/>
    <mergeCell ref="A33:H33"/>
    <mergeCell ref="A34:H34"/>
    <mergeCell ref="A35:H35"/>
    <mergeCell ref="A36:H36"/>
    <mergeCell ref="A37:H37"/>
    <mergeCell ref="A38:H3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22"/>
    <col collapsed="false" customWidth="true" hidden="false" outlineLevel="0" max="6" min="3" style="1" width="14"/>
  </cols>
  <sheetData>
    <row r="1" customFormat="false" ht="19.5" hidden="false" customHeight="true" outlineLevel="0" collapsed="false">
      <c r="A1" s="2" t="s">
        <v>49</v>
      </c>
      <c r="B1" s="2"/>
      <c r="C1" s="2"/>
      <c r="D1" s="2"/>
      <c r="E1" s="2"/>
      <c r="F1" s="2"/>
    </row>
    <row r="2" customFormat="false" ht="15" hidden="false" customHeight="true" outlineLevel="0" collapsed="false">
      <c r="A2" s="3" t="s">
        <v>50</v>
      </c>
      <c r="B2" s="3"/>
      <c r="C2" s="3"/>
      <c r="D2" s="3"/>
      <c r="E2" s="3"/>
      <c r="F2" s="3"/>
    </row>
    <row r="4" customFormat="false" ht="15" hidden="false" customHeight="true" outlineLevel="0" collapsed="false">
      <c r="A4" s="5" t="s">
        <v>51</v>
      </c>
      <c r="B4" s="5"/>
      <c r="C4" s="5"/>
      <c r="D4" s="5"/>
      <c r="E4" s="5"/>
      <c r="F4" s="5"/>
    </row>
    <row r="5" customFormat="false" ht="15" hidden="false" customHeight="true" outlineLevel="0" collapsed="false">
      <c r="A5" s="4" t="s">
        <v>52</v>
      </c>
      <c r="C5" s="11" t="n">
        <v>2</v>
      </c>
    </row>
    <row r="7" customFormat="false" ht="15" hidden="false" customHeight="true" outlineLevel="0" collapsed="false">
      <c r="A7" s="12" t="s">
        <v>53</v>
      </c>
      <c r="B7" s="12" t="s">
        <v>54</v>
      </c>
      <c r="C7" s="12" t="s">
        <v>31</v>
      </c>
      <c r="D7" s="12" t="s">
        <v>32</v>
      </c>
      <c r="E7" s="12" t="s">
        <v>33</v>
      </c>
      <c r="F7" s="12" t="s">
        <v>55</v>
      </c>
    </row>
    <row r="8" customFormat="false" ht="15" hidden="false" customHeight="true" outlineLevel="0" collapsed="false">
      <c r="A8" s="13" t="s">
        <v>56</v>
      </c>
      <c r="B8" s="14"/>
      <c r="C8" s="14"/>
      <c r="D8" s="14"/>
      <c r="E8" s="14"/>
      <c r="F8" s="14"/>
    </row>
    <row r="9" customFormat="false" ht="15" hidden="false" customHeight="true" outlineLevel="0" collapsed="false">
      <c r="A9" s="1" t="s">
        <v>57</v>
      </c>
      <c r="B9" s="15" t="s">
        <v>58</v>
      </c>
      <c r="C9" s="16" t="n">
        <v>3.67</v>
      </c>
      <c r="D9" s="16" t="n">
        <v>3.67</v>
      </c>
      <c r="E9" s="16" t="n">
        <v>3.67</v>
      </c>
      <c r="F9" s="17" t="n">
        <f aca="false">CHOOSE($C$5,C9,D9,E9)</f>
        <v>3.67</v>
      </c>
    </row>
    <row r="10" customFormat="false" ht="15" hidden="false" customHeight="true" outlineLevel="0" collapsed="false">
      <c r="A10" s="1" t="s">
        <v>59</v>
      </c>
      <c r="B10" s="15" t="s">
        <v>60</v>
      </c>
      <c r="C10" s="18" t="n">
        <v>0.3</v>
      </c>
      <c r="D10" s="18" t="n">
        <v>0.6</v>
      </c>
      <c r="E10" s="18" t="n">
        <v>0.7</v>
      </c>
      <c r="F10" s="19" t="n">
        <f aca="false">CHOOSE($C$5,C10,D10,E10)</f>
        <v>0.6</v>
      </c>
    </row>
    <row r="11" customFormat="false" ht="15" hidden="false" customHeight="true" outlineLevel="0" collapsed="false">
      <c r="A11" s="1" t="s">
        <v>61</v>
      </c>
      <c r="B11" s="15" t="s">
        <v>62</v>
      </c>
      <c r="C11" s="16" t="n">
        <v>18</v>
      </c>
      <c r="D11" s="16" t="n">
        <v>12</v>
      </c>
      <c r="E11" s="16" t="n">
        <v>9</v>
      </c>
      <c r="F11" s="17" t="n">
        <f aca="false">CHOOSE($C$5,C11,D11,E11)</f>
        <v>12</v>
      </c>
    </row>
    <row r="12" customFormat="false" ht="15" hidden="false" customHeight="true" outlineLevel="0" collapsed="false">
      <c r="A12" s="1" t="s">
        <v>63</v>
      </c>
      <c r="B12" s="15" t="s">
        <v>64</v>
      </c>
      <c r="C12" s="20" t="n">
        <v>70</v>
      </c>
      <c r="D12" s="20" t="n">
        <v>50</v>
      </c>
      <c r="E12" s="20" t="n">
        <v>40</v>
      </c>
      <c r="F12" s="21" t="n">
        <f aca="false">CHOOSE($C$5,C12,D12,E12)</f>
        <v>50</v>
      </c>
    </row>
    <row r="13" customFormat="false" ht="15" hidden="false" customHeight="true" outlineLevel="0" collapsed="false">
      <c r="A13" s="1" t="s">
        <v>65</v>
      </c>
      <c r="B13" s="15" t="s">
        <v>66</v>
      </c>
      <c r="C13" s="20" t="n">
        <v>120</v>
      </c>
      <c r="D13" s="20" t="n">
        <v>80</v>
      </c>
      <c r="E13" s="20" t="n">
        <v>60</v>
      </c>
      <c r="F13" s="21" t="n">
        <f aca="false">CHOOSE($C$5,C13,D13,E13)</f>
        <v>80</v>
      </c>
    </row>
    <row r="14" customFormat="false" ht="15" hidden="false" customHeight="true" outlineLevel="0" collapsed="false">
      <c r="A14" s="1" t="s">
        <v>67</v>
      </c>
      <c r="B14" s="15" t="s">
        <v>68</v>
      </c>
      <c r="C14" s="20" t="n">
        <v>18000</v>
      </c>
      <c r="D14" s="20" t="n">
        <v>12000</v>
      </c>
      <c r="E14" s="20" t="n">
        <v>8000</v>
      </c>
      <c r="F14" s="21" t="n">
        <f aca="false">CHOOSE($C$5,C14,D14,E14)</f>
        <v>12000</v>
      </c>
    </row>
    <row r="15" customFormat="false" ht="15" hidden="false" customHeight="true" outlineLevel="0" collapsed="false">
      <c r="A15" s="1" t="s">
        <v>69</v>
      </c>
      <c r="B15" s="15" t="s">
        <v>60</v>
      </c>
      <c r="C15" s="18" t="n">
        <v>0.7</v>
      </c>
      <c r="D15" s="18" t="n">
        <v>0.85</v>
      </c>
      <c r="E15" s="18" t="n">
        <v>0.92</v>
      </c>
      <c r="F15" s="19" t="n">
        <f aca="false">CHOOSE($C$5,C15,D15,E15)</f>
        <v>0.85</v>
      </c>
    </row>
    <row r="17" customFormat="false" ht="15" hidden="false" customHeight="true" outlineLevel="0" collapsed="false">
      <c r="A17" s="13" t="s">
        <v>70</v>
      </c>
      <c r="B17" s="14"/>
      <c r="C17" s="14"/>
      <c r="D17" s="14"/>
      <c r="E17" s="14"/>
      <c r="F17" s="14"/>
    </row>
    <row r="18" customFormat="false" ht="15" hidden="false" customHeight="true" outlineLevel="0" collapsed="false">
      <c r="A18" s="1" t="s">
        <v>71</v>
      </c>
      <c r="B18" s="15" t="s">
        <v>72</v>
      </c>
      <c r="C18" s="20" t="n">
        <v>150</v>
      </c>
      <c r="D18" s="20" t="n">
        <v>250</v>
      </c>
      <c r="E18" s="20" t="n">
        <v>400</v>
      </c>
      <c r="F18" s="21" t="n">
        <f aca="false">CHOOSE($C$5,C18,D18,E18)</f>
        <v>250</v>
      </c>
    </row>
    <row r="19" customFormat="false" ht="15" hidden="false" customHeight="true" outlineLevel="0" collapsed="false">
      <c r="A19" s="1" t="s">
        <v>73</v>
      </c>
      <c r="B19" s="15" t="s">
        <v>74</v>
      </c>
      <c r="C19" s="18" t="n">
        <v>0.02</v>
      </c>
      <c r="D19" s="18" t="n">
        <v>0.05</v>
      </c>
      <c r="E19" s="18" t="n">
        <v>0.08</v>
      </c>
      <c r="F19" s="19" t="n">
        <f aca="false">CHOOSE($C$5,C19,D19,E19)</f>
        <v>0.05</v>
      </c>
    </row>
    <row r="20" customFormat="false" ht="15" hidden="false" customHeight="true" outlineLevel="0" collapsed="false">
      <c r="A20" s="1" t="s">
        <v>75</v>
      </c>
      <c r="B20" s="15" t="s">
        <v>76</v>
      </c>
      <c r="C20" s="20" t="n">
        <v>2500</v>
      </c>
      <c r="D20" s="20" t="n">
        <v>4000</v>
      </c>
      <c r="E20" s="20" t="n">
        <v>6000</v>
      </c>
      <c r="F20" s="21" t="n">
        <f aca="false">CHOOSE($C$5,C20,D20,E20)</f>
        <v>4000</v>
      </c>
    </row>
    <row r="21" customFormat="false" ht="15" hidden="false" customHeight="true" outlineLevel="0" collapsed="false">
      <c r="A21" s="1" t="s">
        <v>77</v>
      </c>
      <c r="B21" s="15" t="s">
        <v>78</v>
      </c>
      <c r="C21" s="18" t="n">
        <v>0.05</v>
      </c>
      <c r="D21" s="18" t="n">
        <v>0.08</v>
      </c>
      <c r="E21" s="18" t="n">
        <v>0.12</v>
      </c>
      <c r="F21" s="19" t="n">
        <f aca="false">CHOOSE($C$5,C21,D21,E21)</f>
        <v>0.08</v>
      </c>
    </row>
    <row r="22" customFormat="false" ht="15" hidden="false" customHeight="true" outlineLevel="0" collapsed="false">
      <c r="A22" s="1" t="s">
        <v>79</v>
      </c>
      <c r="B22" s="15" t="s">
        <v>80</v>
      </c>
      <c r="C22" s="20" t="n">
        <v>15000</v>
      </c>
      <c r="D22" s="20" t="n">
        <v>30000</v>
      </c>
      <c r="E22" s="20" t="n">
        <v>50000</v>
      </c>
      <c r="F22" s="21" t="n">
        <f aca="false">CHOOSE($C$5,C22,D22,E22)</f>
        <v>30000</v>
      </c>
    </row>
    <row r="23" customFormat="false" ht="15" hidden="false" customHeight="true" outlineLevel="0" collapsed="false">
      <c r="A23" s="1" t="s">
        <v>81</v>
      </c>
      <c r="B23" s="15" t="s">
        <v>80</v>
      </c>
      <c r="C23" s="20" t="n">
        <v>3000</v>
      </c>
      <c r="D23" s="20" t="n">
        <v>5000</v>
      </c>
      <c r="E23" s="20" t="n">
        <v>8000</v>
      </c>
      <c r="F23" s="21" t="n">
        <f aca="false">CHOOSE($C$5,C23,D23,E23)</f>
        <v>5000</v>
      </c>
    </row>
    <row r="24" customFormat="false" ht="15" hidden="false" customHeight="true" outlineLevel="0" collapsed="false">
      <c r="A24" s="1" t="s">
        <v>82</v>
      </c>
      <c r="B24" s="15" t="s">
        <v>80</v>
      </c>
      <c r="C24" s="20" t="n">
        <v>12000</v>
      </c>
      <c r="D24" s="20" t="n">
        <v>20000</v>
      </c>
      <c r="E24" s="20" t="n">
        <v>30000</v>
      </c>
      <c r="F24" s="21" t="n">
        <f aca="false">CHOOSE($C$5,C24,D24,E24)</f>
        <v>20000</v>
      </c>
    </row>
    <row r="25" customFormat="false" ht="15" hidden="false" customHeight="true" outlineLevel="0" collapsed="false">
      <c r="A25" s="1" t="s">
        <v>83</v>
      </c>
      <c r="B25" s="15" t="s">
        <v>80</v>
      </c>
      <c r="C25" s="20" t="n">
        <v>1500</v>
      </c>
      <c r="D25" s="20" t="n">
        <v>1800</v>
      </c>
      <c r="E25" s="20" t="n">
        <v>2200</v>
      </c>
      <c r="F25" s="21" t="n">
        <f aca="false">CHOOSE($C$5,C25,D25,E25)</f>
        <v>1800</v>
      </c>
    </row>
    <row r="27" customFormat="false" ht="15" hidden="false" customHeight="true" outlineLevel="0" collapsed="false">
      <c r="A27" s="13" t="s">
        <v>84</v>
      </c>
      <c r="B27" s="14"/>
      <c r="C27" s="14"/>
      <c r="D27" s="14"/>
      <c r="E27" s="14"/>
      <c r="F27" s="14"/>
    </row>
    <row r="28" customFormat="false" ht="15" hidden="false" customHeight="true" outlineLevel="0" collapsed="false">
      <c r="A28" s="1" t="s">
        <v>85</v>
      </c>
      <c r="B28" s="15" t="s">
        <v>86</v>
      </c>
      <c r="C28" s="20" t="n">
        <v>150000</v>
      </c>
      <c r="D28" s="20" t="n">
        <v>300000</v>
      </c>
      <c r="E28" s="20" t="n">
        <v>500000</v>
      </c>
      <c r="F28" s="21" t="n">
        <f aca="false">CHOOSE($C$5,C28,D28,E28)</f>
        <v>300000</v>
      </c>
    </row>
    <row r="29" customFormat="false" ht="15" hidden="false" customHeight="true" outlineLevel="0" collapsed="false">
      <c r="A29" s="1" t="s">
        <v>87</v>
      </c>
      <c r="B29" s="15" t="s">
        <v>88</v>
      </c>
      <c r="C29" s="22" t="n">
        <v>1</v>
      </c>
      <c r="D29" s="22" t="n">
        <v>3</v>
      </c>
      <c r="E29" s="22" t="n">
        <v>5</v>
      </c>
      <c r="F29" s="23" t="n">
        <f aca="false">CHOOSE($C$5,C29,D29,E29)</f>
        <v>3</v>
      </c>
    </row>
    <row r="30" customFormat="false" ht="15" hidden="false" customHeight="true" outlineLevel="0" collapsed="false">
      <c r="A30" s="1" t="s">
        <v>89</v>
      </c>
      <c r="B30" s="15" t="s">
        <v>90</v>
      </c>
      <c r="C30" s="20" t="n">
        <v>2000000</v>
      </c>
      <c r="D30" s="20" t="n">
        <v>5000000</v>
      </c>
      <c r="E30" s="20" t="n">
        <v>12000000</v>
      </c>
      <c r="F30" s="21" t="n">
        <f aca="false">CHOOSE($C$5,C30,D30,E30)</f>
        <v>5000000</v>
      </c>
    </row>
    <row r="31" customFormat="false" ht="15" hidden="false" customHeight="true" outlineLevel="0" collapsed="false">
      <c r="A31" s="1" t="s">
        <v>91</v>
      </c>
      <c r="B31" s="15" t="s">
        <v>88</v>
      </c>
      <c r="C31" s="22" t="n">
        <v>2</v>
      </c>
      <c r="D31" s="22" t="n">
        <v>4</v>
      </c>
      <c r="E31" s="22" t="n">
        <v>5</v>
      </c>
      <c r="F31" s="23" t="n">
        <f aca="false">CHOOSE($C$5,C31,D31,E31)</f>
        <v>4</v>
      </c>
    </row>
    <row r="32" customFormat="false" ht="15" hidden="false" customHeight="true" outlineLevel="0" collapsed="false">
      <c r="A32" s="1" t="s">
        <v>92</v>
      </c>
      <c r="B32" s="15" t="s">
        <v>86</v>
      </c>
      <c r="C32" s="20" t="n">
        <v>150000</v>
      </c>
      <c r="D32" s="20" t="n">
        <v>300000</v>
      </c>
      <c r="E32" s="20" t="n">
        <v>500000</v>
      </c>
      <c r="F32" s="21" t="n">
        <f aca="false">CHOOSE($C$5,C32,D32,E32)</f>
        <v>300000</v>
      </c>
    </row>
    <row r="33" customFormat="false" ht="15" hidden="false" customHeight="true" outlineLevel="0" collapsed="false">
      <c r="A33" s="1" t="s">
        <v>93</v>
      </c>
      <c r="B33" s="15" t="s">
        <v>88</v>
      </c>
      <c r="C33" s="22" t="n">
        <v>1</v>
      </c>
      <c r="D33" s="22" t="n">
        <v>3</v>
      </c>
      <c r="E33" s="22" t="n">
        <v>5</v>
      </c>
      <c r="F33" s="23" t="n">
        <f aca="false">CHOOSE($C$5,C33,D33,E33)</f>
        <v>3</v>
      </c>
    </row>
    <row r="35" customFormat="false" ht="15" hidden="false" customHeight="true" outlineLevel="0" collapsed="false">
      <c r="A35" s="13" t="s">
        <v>94</v>
      </c>
      <c r="B35" s="14"/>
      <c r="C35" s="14"/>
      <c r="D35" s="14"/>
      <c r="E35" s="14"/>
      <c r="F35" s="14"/>
    </row>
    <row r="36" customFormat="false" ht="15" hidden="false" customHeight="true" outlineLevel="0" collapsed="false">
      <c r="A36" s="4" t="s">
        <v>95</v>
      </c>
      <c r="B36" s="15"/>
      <c r="C36" s="4" t="s">
        <v>31</v>
      </c>
      <c r="D36" s="4" t="s">
        <v>32</v>
      </c>
      <c r="E36" s="4" t="s">
        <v>33</v>
      </c>
      <c r="F36" s="4" t="s">
        <v>55</v>
      </c>
    </row>
    <row r="37" customFormat="false" ht="15" hidden="false" customHeight="true" outlineLevel="0" collapsed="false">
      <c r="A37" s="24" t="n">
        <v>2026</v>
      </c>
      <c r="B37" s="15" t="s">
        <v>96</v>
      </c>
      <c r="C37" s="22" t="n">
        <v>0</v>
      </c>
      <c r="D37" s="22" t="n">
        <v>0</v>
      </c>
      <c r="E37" s="22" t="n">
        <v>0</v>
      </c>
      <c r="F37" s="23" t="n">
        <f aca="false">CHOOSE($C$5,C37,D37,E37)</f>
        <v>0</v>
      </c>
    </row>
    <row r="38" customFormat="false" ht="15" hidden="false" customHeight="true" outlineLevel="0" collapsed="false">
      <c r="A38" s="24" t="n">
        <v>2027</v>
      </c>
      <c r="B38" s="15" t="s">
        <v>96</v>
      </c>
      <c r="C38" s="22" t="n">
        <v>1</v>
      </c>
      <c r="D38" s="22" t="n">
        <v>3</v>
      </c>
      <c r="E38" s="22" t="n">
        <v>8</v>
      </c>
      <c r="F38" s="23" t="n">
        <f aca="false">CHOOSE($C$5,C38,D38,E38)</f>
        <v>3</v>
      </c>
    </row>
    <row r="39" customFormat="false" ht="15" hidden="false" customHeight="true" outlineLevel="0" collapsed="false">
      <c r="A39" s="24" t="n">
        <v>2028</v>
      </c>
      <c r="B39" s="15" t="s">
        <v>96</v>
      </c>
      <c r="C39" s="22" t="n">
        <v>15</v>
      </c>
      <c r="D39" s="22" t="n">
        <v>50</v>
      </c>
      <c r="E39" s="22" t="n">
        <v>150</v>
      </c>
      <c r="F39" s="23" t="n">
        <f aca="false">CHOOSE($C$5,C39,D39,E39)</f>
        <v>50</v>
      </c>
    </row>
    <row r="40" customFormat="false" ht="15" hidden="false" customHeight="true" outlineLevel="0" collapsed="false">
      <c r="A40" s="24" t="n">
        <v>2029</v>
      </c>
      <c r="B40" s="15" t="s">
        <v>96</v>
      </c>
      <c r="C40" s="22" t="n">
        <v>100</v>
      </c>
      <c r="D40" s="22" t="n">
        <v>400</v>
      </c>
      <c r="E40" s="22" t="n">
        <v>1200</v>
      </c>
      <c r="F40" s="23" t="n">
        <f aca="false">CHOOSE($C$5,C40,D40,E40)</f>
        <v>400</v>
      </c>
    </row>
    <row r="41" customFormat="false" ht="15" hidden="false" customHeight="true" outlineLevel="0" collapsed="false">
      <c r="A41" s="24" t="n">
        <v>2030</v>
      </c>
      <c r="B41" s="15" t="s">
        <v>96</v>
      </c>
      <c r="C41" s="22" t="n">
        <v>500</v>
      </c>
      <c r="D41" s="22" t="n">
        <v>2500</v>
      </c>
      <c r="E41" s="22" t="n">
        <v>8000</v>
      </c>
      <c r="F41" s="23" t="n">
        <f aca="false">CHOOSE($C$5,C41,D41,E41)</f>
        <v>2500</v>
      </c>
    </row>
    <row r="42" customFormat="false" ht="15" hidden="false" customHeight="true" outlineLevel="0" collapsed="false">
      <c r="A42" s="24" t="n">
        <v>2031</v>
      </c>
      <c r="B42" s="15" t="s">
        <v>96</v>
      </c>
      <c r="C42" s="22" t="n">
        <v>1500</v>
      </c>
      <c r="D42" s="22" t="n">
        <v>8000</v>
      </c>
      <c r="E42" s="22" t="n">
        <v>25000</v>
      </c>
      <c r="F42" s="23" t="n">
        <f aca="false">CHOOSE($C$5,C42,D42,E42)</f>
        <v>8000</v>
      </c>
    </row>
    <row r="43" customFormat="false" ht="15" hidden="false" customHeight="true" outlineLevel="0" collapsed="false">
      <c r="A43" s="24" t="n">
        <v>2032</v>
      </c>
      <c r="B43" s="15" t="s">
        <v>96</v>
      </c>
      <c r="C43" s="22" t="n">
        <v>3500</v>
      </c>
      <c r="D43" s="22" t="n">
        <v>18000</v>
      </c>
      <c r="E43" s="22" t="n">
        <v>55000</v>
      </c>
      <c r="F43" s="23" t="n">
        <f aca="false">CHOOSE($C$5,C43,D43,E43)</f>
        <v>18000</v>
      </c>
    </row>
    <row r="44" customFormat="false" ht="15" hidden="false" customHeight="true" outlineLevel="0" collapsed="false">
      <c r="A44" s="24" t="n">
        <v>2033</v>
      </c>
      <c r="B44" s="15" t="s">
        <v>96</v>
      </c>
      <c r="C44" s="22" t="n">
        <v>7000</v>
      </c>
      <c r="D44" s="22" t="n">
        <v>35000</v>
      </c>
      <c r="E44" s="22" t="n">
        <v>100000</v>
      </c>
      <c r="F44" s="23" t="n">
        <f aca="false">CHOOSE($C$5,C44,D44,E44)</f>
        <v>35000</v>
      </c>
    </row>
    <row r="45" customFormat="false" ht="15" hidden="false" customHeight="true" outlineLevel="0" collapsed="false">
      <c r="A45" s="24" t="n">
        <v>2034</v>
      </c>
      <c r="B45" s="15" t="s">
        <v>96</v>
      </c>
      <c r="C45" s="22" t="n">
        <v>12000</v>
      </c>
      <c r="D45" s="22" t="n">
        <v>60000</v>
      </c>
      <c r="E45" s="22" t="n">
        <v>175000</v>
      </c>
      <c r="F45" s="23" t="n">
        <f aca="false">CHOOSE($C$5,C45,D45,E45)</f>
        <v>60000</v>
      </c>
    </row>
    <row r="46" customFormat="false" ht="15" hidden="false" customHeight="true" outlineLevel="0" collapsed="false">
      <c r="A46" s="24" t="n">
        <v>2035</v>
      </c>
      <c r="B46" s="15" t="s">
        <v>96</v>
      </c>
      <c r="C46" s="22" t="n">
        <v>20000</v>
      </c>
      <c r="D46" s="22" t="n">
        <v>90000</v>
      </c>
      <c r="E46" s="22" t="n">
        <v>275000</v>
      </c>
      <c r="F46" s="23" t="n">
        <f aca="false">CHOOSE($C$5,C46,D46,E46)</f>
        <v>90000</v>
      </c>
    </row>
    <row r="48" customFormat="false" ht="15" hidden="false" customHeight="true" outlineLevel="0" collapsed="false">
      <c r="A48" s="13" t="s">
        <v>97</v>
      </c>
      <c r="B48" s="14"/>
      <c r="C48" s="14"/>
      <c r="D48" s="14"/>
      <c r="E48" s="14"/>
      <c r="F48" s="14"/>
    </row>
    <row r="49" customFormat="false" ht="15" hidden="false" customHeight="true" outlineLevel="0" collapsed="false">
      <c r="A49" s="4" t="s">
        <v>98</v>
      </c>
      <c r="C49" s="4" t="s">
        <v>31</v>
      </c>
      <c r="D49" s="4" t="s">
        <v>32</v>
      </c>
      <c r="E49" s="4" t="s">
        <v>33</v>
      </c>
      <c r="F49" s="4" t="s">
        <v>55</v>
      </c>
    </row>
    <row r="50" customFormat="false" ht="15" hidden="false" customHeight="true" outlineLevel="0" collapsed="false">
      <c r="A50" s="1" t="s">
        <v>99</v>
      </c>
      <c r="C50" s="18" t="n">
        <v>0.4</v>
      </c>
      <c r="D50" s="18" t="n">
        <v>0.45</v>
      </c>
      <c r="E50" s="18" t="n">
        <v>0.45</v>
      </c>
      <c r="F50" s="19" t="n">
        <f aca="false">CHOOSE($C$5,C50,D50,E50)</f>
        <v>0.45</v>
      </c>
    </row>
    <row r="51" customFormat="false" ht="15" hidden="false" customHeight="true" outlineLevel="0" collapsed="false">
      <c r="A51" s="1" t="s">
        <v>100</v>
      </c>
      <c r="C51" s="18" t="n">
        <v>0.15</v>
      </c>
      <c r="D51" s="18" t="n">
        <v>0.2</v>
      </c>
      <c r="E51" s="18" t="n">
        <v>0.25</v>
      </c>
      <c r="F51" s="19" t="n">
        <f aca="false">CHOOSE($C$5,C51,D51,E51)</f>
        <v>0.2</v>
      </c>
    </row>
    <row r="52" customFormat="false" ht="15" hidden="false" customHeight="true" outlineLevel="0" collapsed="false">
      <c r="A52" s="1" t="s">
        <v>101</v>
      </c>
      <c r="C52" s="18" t="n">
        <v>0.2</v>
      </c>
      <c r="D52" s="18" t="n">
        <v>0.15</v>
      </c>
      <c r="E52" s="18" t="n">
        <v>0.1</v>
      </c>
      <c r="F52" s="19" t="n">
        <f aca="false">CHOOSE($C$5,C52,D52,E52)</f>
        <v>0.15</v>
      </c>
    </row>
    <row r="53" customFormat="false" ht="15" hidden="false" customHeight="true" outlineLevel="0" collapsed="false">
      <c r="A53" s="1" t="s">
        <v>102</v>
      </c>
      <c r="C53" s="18" t="n">
        <v>0.2</v>
      </c>
      <c r="D53" s="18" t="n">
        <v>0.15</v>
      </c>
      <c r="E53" s="18" t="n">
        <v>0.1</v>
      </c>
      <c r="F53" s="19" t="n">
        <f aca="false">CHOOSE($C$5,C53,D53,E53)</f>
        <v>0.15</v>
      </c>
    </row>
    <row r="54" customFormat="false" ht="15" hidden="false" customHeight="true" outlineLevel="0" collapsed="false">
      <c r="A54" s="1" t="s">
        <v>103</v>
      </c>
      <c r="C54" s="18" t="n">
        <v>0.05</v>
      </c>
      <c r="D54" s="18" t="n">
        <v>0.05</v>
      </c>
      <c r="E54" s="18" t="n">
        <v>0.1</v>
      </c>
      <c r="F54" s="19" t="n">
        <f aca="false">CHOOSE($C$5,C54,D54,E54)</f>
        <v>0.05</v>
      </c>
    </row>
    <row r="55" customFormat="false" ht="15" hidden="false" customHeight="true" outlineLevel="0" collapsed="false">
      <c r="A55" s="4" t="s">
        <v>104</v>
      </c>
      <c r="C55" s="25" t="n">
        <f aca="false">SUM(C50:C54)</f>
        <v>1</v>
      </c>
      <c r="D55" s="25" t="n">
        <f aca="false">SUM(D50:D54)</f>
        <v>1</v>
      </c>
      <c r="E55" s="25" t="n">
        <f aca="false">SUM(E50:E54)</f>
        <v>1</v>
      </c>
      <c r="F55" s="25" t="n">
        <f aca="false">SUM(F50:F54)</f>
        <v>1</v>
      </c>
    </row>
    <row r="57" customFormat="false" ht="15" hidden="false" customHeight="true" outlineLevel="0" collapsed="false">
      <c r="A57" s="13" t="s">
        <v>105</v>
      </c>
      <c r="B57" s="14"/>
      <c r="C57" s="14"/>
      <c r="D57" s="14"/>
      <c r="E57" s="14"/>
      <c r="F57" s="14"/>
    </row>
    <row r="58" customFormat="false" ht="15" hidden="false" customHeight="true" outlineLevel="0" collapsed="false">
      <c r="A58" s="1" t="s">
        <v>106</v>
      </c>
      <c r="B58" s="15" t="s">
        <v>60</v>
      </c>
      <c r="C58" s="18" t="n">
        <v>0.3</v>
      </c>
      <c r="D58" s="18" t="n">
        <v>0.25</v>
      </c>
      <c r="E58" s="18" t="n">
        <v>0.2</v>
      </c>
      <c r="F58" s="19" t="n">
        <f aca="false">CHOOSE($C$5,C58,D58,E58)</f>
        <v>0.25</v>
      </c>
    </row>
    <row r="59" customFormat="false" ht="15" hidden="false" customHeight="true" outlineLevel="0" collapsed="false">
      <c r="A59" s="1" t="s">
        <v>107</v>
      </c>
      <c r="B59" s="15" t="s">
        <v>60</v>
      </c>
      <c r="C59" s="18" t="n">
        <v>0.02</v>
      </c>
      <c r="D59" s="18" t="n">
        <v>0.03</v>
      </c>
      <c r="E59" s="18" t="n">
        <v>0.04</v>
      </c>
      <c r="F59" s="19" t="n">
        <f aca="false">CHOOSE($C$5,C59,D59,E59)</f>
        <v>0.03</v>
      </c>
    </row>
    <row r="60" customFormat="false" ht="15" hidden="false" customHeight="true" outlineLevel="0" collapsed="false">
      <c r="A60" s="1" t="s">
        <v>108</v>
      </c>
      <c r="B60" s="15" t="s">
        <v>109</v>
      </c>
      <c r="C60" s="26" t="n">
        <v>8</v>
      </c>
      <c r="D60" s="26" t="n">
        <v>12</v>
      </c>
      <c r="E60" s="26" t="n">
        <v>18</v>
      </c>
      <c r="F60" s="27" t="n">
        <f aca="false">CHOOSE($C$5,C60,D60,E60)</f>
        <v>12</v>
      </c>
    </row>
    <row r="61" customFormat="false" ht="15" hidden="false" customHeight="true" outlineLevel="0" collapsed="false">
      <c r="A61" s="1" t="s">
        <v>40</v>
      </c>
      <c r="B61" s="15" t="s">
        <v>60</v>
      </c>
      <c r="C61" s="18" t="n">
        <v>0.3</v>
      </c>
      <c r="D61" s="18" t="n">
        <v>0.5</v>
      </c>
      <c r="E61" s="18" t="n">
        <v>0.2</v>
      </c>
      <c r="F61" s="19" t="n">
        <f aca="false">SUM(C61:E61)</f>
        <v>1</v>
      </c>
    </row>
  </sheetData>
  <mergeCells count="3">
    <mergeCell ref="A1:F1"/>
    <mergeCell ref="A2:F2"/>
    <mergeCell ref="A4:F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22"/>
    <col collapsed="false" customWidth="true" hidden="false" outlineLevel="0" max="3" min="3" style="1" width="20"/>
    <col collapsed="false" customWidth="true" hidden="false" outlineLevel="0" max="4" min="4" style="1" width="40"/>
    <col collapsed="false" customWidth="true" hidden="false" outlineLevel="0" max="5" min="5" style="1" width="22"/>
    <col collapsed="false" customWidth="true" hidden="false" outlineLevel="0" max="6" min="6" style="1" width="26"/>
    <col collapsed="false" customWidth="true" hidden="false" outlineLevel="0" max="7" min="7" style="1" width="22"/>
  </cols>
  <sheetData>
    <row r="1" customFormat="false" ht="19.5" hidden="false" customHeight="true" outlineLevel="0" collapsed="false">
      <c r="A1" s="2" t="s">
        <v>110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111</v>
      </c>
      <c r="B2" s="3"/>
      <c r="C2" s="3"/>
      <c r="D2" s="3"/>
      <c r="E2" s="3"/>
      <c r="F2" s="3"/>
      <c r="G2" s="3"/>
    </row>
    <row r="4" customFormat="false" ht="15" hidden="false" customHeight="true" outlineLevel="0" collapsed="false">
      <c r="A4" s="13" t="s">
        <v>112</v>
      </c>
      <c r="B4" s="14"/>
      <c r="C4" s="14"/>
      <c r="D4" s="14"/>
      <c r="E4" s="14"/>
      <c r="F4" s="14"/>
      <c r="G4" s="14"/>
    </row>
    <row r="5" customFormat="false" ht="15" hidden="false" customHeight="true" outlineLevel="0" collapsed="false">
      <c r="A5" s="1" t="s">
        <v>113</v>
      </c>
      <c r="B5" s="28" t="n">
        <v>15</v>
      </c>
      <c r="C5" s="1" t="s">
        <v>114</v>
      </c>
    </row>
    <row r="6" customFormat="false" ht="15" hidden="false" customHeight="true" outlineLevel="0" collapsed="false">
      <c r="A6" s="1" t="s">
        <v>115</v>
      </c>
      <c r="B6" s="29" t="n">
        <v>27</v>
      </c>
      <c r="C6" s="1" t="s">
        <v>116</v>
      </c>
    </row>
    <row r="7" customFormat="false" ht="15" hidden="false" customHeight="true" outlineLevel="0" collapsed="false">
      <c r="A7" s="1" t="s">
        <v>117</v>
      </c>
      <c r="B7" s="18" t="n">
        <v>0.7</v>
      </c>
      <c r="C7" s="1" t="s">
        <v>60</v>
      </c>
    </row>
    <row r="8" customFormat="false" ht="15" hidden="false" customHeight="true" outlineLevel="0" collapsed="false">
      <c r="A8" s="1" t="s">
        <v>118</v>
      </c>
      <c r="B8" s="30" t="n">
        <f aca="false">B5*B7</f>
        <v>10.5</v>
      </c>
      <c r="C8" s="1" t="s">
        <v>114</v>
      </c>
    </row>
    <row r="9" customFormat="false" ht="15" hidden="false" customHeight="true" outlineLevel="0" collapsed="false">
      <c r="A9" s="1" t="s">
        <v>119</v>
      </c>
      <c r="B9" s="31" t="n">
        <f aca="false">B6*B7</f>
        <v>18.9</v>
      </c>
      <c r="C9" s="1" t="s">
        <v>116</v>
      </c>
    </row>
    <row r="10" customFormat="false" ht="15" hidden="false" customHeight="true" outlineLevel="0" collapsed="false">
      <c r="A10" s="1" t="s">
        <v>120</v>
      </c>
      <c r="B10" s="32" t="n">
        <v>1.8</v>
      </c>
      <c r="C10" s="1" t="s">
        <v>121</v>
      </c>
    </row>
    <row r="11" customFormat="false" ht="15" hidden="false" customHeight="true" outlineLevel="0" collapsed="false">
      <c r="A11" s="1" t="s">
        <v>122</v>
      </c>
      <c r="B11" s="28" t="n">
        <v>2.8</v>
      </c>
      <c r="C11" s="1" t="s">
        <v>123</v>
      </c>
    </row>
    <row r="12" customFormat="false" ht="15" hidden="false" customHeight="true" outlineLevel="0" collapsed="false">
      <c r="A12" s="1" t="s">
        <v>124</v>
      </c>
      <c r="B12" s="28" t="n">
        <v>5.7</v>
      </c>
      <c r="C12" s="1" t="s">
        <v>125</v>
      </c>
    </row>
    <row r="14" customFormat="false" ht="15" hidden="false" customHeight="true" outlineLevel="0" collapsed="false">
      <c r="A14" s="13" t="s">
        <v>126</v>
      </c>
      <c r="B14" s="14"/>
      <c r="C14" s="14"/>
      <c r="D14" s="14"/>
      <c r="E14" s="14"/>
      <c r="F14" s="14"/>
      <c r="G14" s="14"/>
    </row>
    <row r="15" customFormat="false" ht="15" hidden="false" customHeight="true" outlineLevel="0" collapsed="false">
      <c r="A15" s="6" t="s">
        <v>127</v>
      </c>
      <c r="B15" s="6" t="s">
        <v>128</v>
      </c>
      <c r="C15" s="6" t="s">
        <v>129</v>
      </c>
      <c r="D15" s="6" t="s">
        <v>130</v>
      </c>
      <c r="E15" s="6" t="s">
        <v>131</v>
      </c>
      <c r="F15" s="6" t="s">
        <v>132</v>
      </c>
      <c r="G15" s="6" t="s">
        <v>133</v>
      </c>
    </row>
    <row r="16" customFormat="false" ht="15" hidden="false" customHeight="true" outlineLevel="0" collapsed="false">
      <c r="A16" s="4" t="s">
        <v>134</v>
      </c>
      <c r="B16" s="18" t="n">
        <v>0.135</v>
      </c>
      <c r="C16" s="33" t="n">
        <f aca="false">$B$8*1000*B16</f>
        <v>1417.5</v>
      </c>
      <c r="D16" s="34" t="s">
        <v>135</v>
      </c>
      <c r="E16" s="18" t="n">
        <v>0.4</v>
      </c>
      <c r="F16" s="33" t="n">
        <f aca="false">C16*$B$12*E16</f>
        <v>3231.9</v>
      </c>
      <c r="G16" s="7" t="n">
        <f aca="false">F16*1000*Assumptions!$D$18/1000000</f>
        <v>807.975</v>
      </c>
    </row>
    <row r="17" customFormat="false" ht="15" hidden="false" customHeight="true" outlineLevel="0" collapsed="false">
      <c r="A17" s="4" t="s">
        <v>136</v>
      </c>
      <c r="B17" s="18" t="n">
        <v>0.14</v>
      </c>
      <c r="C17" s="33" t="n">
        <f aca="false">$B$8*1000*B17</f>
        <v>1470</v>
      </c>
      <c r="D17" s="34" t="s">
        <v>137</v>
      </c>
      <c r="E17" s="18" t="n">
        <v>0.4</v>
      </c>
      <c r="F17" s="33" t="n">
        <f aca="false">C17*$B$12*E17</f>
        <v>3351.6</v>
      </c>
      <c r="G17" s="7" t="n">
        <f aca="false">F17*1000*Assumptions!$D$18/1000000</f>
        <v>837.9</v>
      </c>
    </row>
    <row r="18" customFormat="false" ht="15" hidden="false" customHeight="true" outlineLevel="0" collapsed="false">
      <c r="A18" s="4" t="s">
        <v>138</v>
      </c>
      <c r="B18" s="18" t="n">
        <v>0.075</v>
      </c>
      <c r="C18" s="33" t="n">
        <f aca="false">$B$8*1000*B18</f>
        <v>787.5</v>
      </c>
      <c r="D18" s="34" t="s">
        <v>139</v>
      </c>
      <c r="E18" s="18" t="n">
        <v>1</v>
      </c>
      <c r="F18" s="33" t="n">
        <f aca="false">C18*$B$12*E18</f>
        <v>4488.75</v>
      </c>
      <c r="G18" s="7" t="n">
        <f aca="false">F18*1000*Assumptions!$D$18/1000000</f>
        <v>1122.1875</v>
      </c>
    </row>
    <row r="19" customFormat="false" ht="15" hidden="false" customHeight="true" outlineLevel="0" collapsed="false">
      <c r="A19" s="4" t="s">
        <v>140</v>
      </c>
      <c r="B19" s="18" t="n">
        <v>0.06</v>
      </c>
      <c r="C19" s="33" t="n">
        <f aca="false">$B$8*1000*B19</f>
        <v>630</v>
      </c>
      <c r="D19" s="34" t="s">
        <v>141</v>
      </c>
      <c r="E19" s="18" t="n">
        <v>0.4</v>
      </c>
      <c r="F19" s="33" t="n">
        <f aca="false">C19*$B$12*E19</f>
        <v>1436.4</v>
      </c>
      <c r="G19" s="7" t="n">
        <f aca="false">F19*1000*Assumptions!$D$18/1000000</f>
        <v>359.1</v>
      </c>
    </row>
    <row r="20" customFormat="false" ht="15" hidden="false" customHeight="true" outlineLevel="0" collapsed="false">
      <c r="A20" s="4" t="s">
        <v>142</v>
      </c>
      <c r="B20" s="18" t="n">
        <v>0.04</v>
      </c>
      <c r="C20" s="33" t="n">
        <f aca="false">$B$8*1000*B20</f>
        <v>420</v>
      </c>
      <c r="D20" s="34" t="s">
        <v>143</v>
      </c>
      <c r="E20" s="18" t="n">
        <v>0.5</v>
      </c>
      <c r="F20" s="33" t="n">
        <f aca="false">C20*$B$12*E20</f>
        <v>1197</v>
      </c>
      <c r="G20" s="7" t="n">
        <f aca="false">F20*1000*Assumptions!$D$18/1000000</f>
        <v>299.25</v>
      </c>
    </row>
    <row r="21" customFormat="false" ht="15" hidden="false" customHeight="true" outlineLevel="0" collapsed="false">
      <c r="A21" s="35" t="s">
        <v>144</v>
      </c>
      <c r="B21" s="36" t="n">
        <f aca="false">SUM(B16:B20)</f>
        <v>0.45</v>
      </c>
      <c r="C21" s="37" t="n">
        <f aca="false">SUM(C16:C20)</f>
        <v>4725</v>
      </c>
      <c r="F21" s="37" t="n">
        <f aca="false">SUM(F16:F20)</f>
        <v>13705.65</v>
      </c>
      <c r="G21" s="38" t="n">
        <f aca="false">SUM(G16:G20)</f>
        <v>3426.4125</v>
      </c>
    </row>
    <row r="22" customFormat="false" ht="15" hidden="false" customHeight="true" outlineLevel="0" collapsed="false">
      <c r="A22" s="39" t="s">
        <v>145</v>
      </c>
      <c r="B22" s="40" t="n">
        <f aca="false">1-B21</f>
        <v>0.55</v>
      </c>
      <c r="C22" s="41" t="n">
        <f aca="false">$B$8*1000*B22</f>
        <v>5775</v>
      </c>
      <c r="E22" s="18" t="n">
        <v>0.3</v>
      </c>
      <c r="F22" s="41" t="n">
        <f aca="false">C22*$B$12*E22</f>
        <v>9875.25</v>
      </c>
      <c r="G22" s="7" t="n">
        <f aca="false">F22*1000*Assumptions!$D$18/1000000</f>
        <v>2468.8125</v>
      </c>
    </row>
    <row r="23" customFormat="false" ht="15" hidden="false" customHeight="true" outlineLevel="0" collapsed="false">
      <c r="A23" s="42" t="s">
        <v>146</v>
      </c>
      <c r="B23" s="36" t="n">
        <f aca="false">SUM(B16:B22)/2</f>
        <v>0.725</v>
      </c>
      <c r="C23" s="37" t="n">
        <f aca="false">SUM(C16:C20)+C22</f>
        <v>10500</v>
      </c>
      <c r="F23" s="37" t="n">
        <f aca="false">SUM(F16:F20)+F22</f>
        <v>23580.9</v>
      </c>
      <c r="G23" s="38" t="n">
        <f aca="false">SUM(G16:G20)+G22</f>
        <v>5895.225</v>
      </c>
    </row>
    <row r="25" customFormat="false" ht="15" hidden="false" customHeight="true" outlineLevel="0" collapsed="false">
      <c r="A25" s="13" t="s">
        <v>147</v>
      </c>
      <c r="B25" s="14"/>
      <c r="C25" s="14"/>
      <c r="D25" s="14"/>
      <c r="E25" s="14"/>
      <c r="F25" s="14"/>
      <c r="G25" s="14"/>
    </row>
    <row r="26" customFormat="false" ht="15" hidden="false" customHeight="true" outlineLevel="0" collapsed="false">
      <c r="A26" s="1" t="s">
        <v>148</v>
      </c>
      <c r="B26" s="19" t="n">
        <f aca="false">SUMPRODUCT(C16:C20,E16:E20)/SUM(C16:C20)</f>
        <v>0.508888888888889</v>
      </c>
    </row>
    <row r="27" customFormat="false" ht="15" hidden="false" customHeight="true" outlineLevel="0" collapsed="false">
      <c r="A27" s="1" t="s">
        <v>149</v>
      </c>
      <c r="B27" s="41" t="n">
        <f aca="false">SUMPRODUCT(C16:C20,E16:E20)</f>
        <v>2404.5</v>
      </c>
      <c r="C27" s="1" t="s">
        <v>150</v>
      </c>
    </row>
    <row r="28" customFormat="false" ht="15" hidden="false" customHeight="true" outlineLevel="0" collapsed="false">
      <c r="A28" s="1" t="s">
        <v>151</v>
      </c>
      <c r="B28" s="43" t="n">
        <v>800</v>
      </c>
      <c r="C28" s="1" t="s">
        <v>152</v>
      </c>
    </row>
    <row r="29" customFormat="false" ht="15" hidden="false" customHeight="true" outlineLevel="0" collapsed="false">
      <c r="A29" s="4" t="s">
        <v>153</v>
      </c>
      <c r="B29" s="44" t="n">
        <f aca="false">B27-B28</f>
        <v>1604.5</v>
      </c>
      <c r="C29" s="1" t="s">
        <v>154</v>
      </c>
    </row>
    <row r="30" customFormat="false" ht="15" hidden="false" customHeight="true" outlineLevel="0" collapsed="false">
      <c r="A30" s="1" t="s">
        <v>155</v>
      </c>
      <c r="B30" s="45" t="n">
        <f aca="false">B29*1000*Assumptions!$D$20/1000000</f>
        <v>6418</v>
      </c>
      <c r="C30" s="1" t="s">
        <v>156</v>
      </c>
    </row>
    <row r="32" customFormat="false" ht="15" hidden="false" customHeight="true" outlineLevel="0" collapsed="false">
      <c r="A32" s="13" t="s">
        <v>157</v>
      </c>
      <c r="B32" s="14"/>
      <c r="C32" s="14"/>
      <c r="D32" s="14"/>
      <c r="E32" s="14"/>
      <c r="F32" s="14"/>
      <c r="G32" s="14"/>
    </row>
    <row r="33" customFormat="false" ht="15" hidden="false" customHeight="true" outlineLevel="0" collapsed="false">
      <c r="A33" s="6" t="s">
        <v>158</v>
      </c>
      <c r="B33" s="6" t="s">
        <v>159</v>
      </c>
      <c r="C33" s="6" t="s">
        <v>160</v>
      </c>
      <c r="D33" s="6" t="s">
        <v>161</v>
      </c>
      <c r="E33" s="6" t="s">
        <v>162</v>
      </c>
      <c r="F33" s="6" t="s">
        <v>163</v>
      </c>
      <c r="G33" s="6" t="s">
        <v>164</v>
      </c>
    </row>
    <row r="34" customFormat="false" ht="15" hidden="false" customHeight="true" outlineLevel="0" collapsed="false">
      <c r="A34" s="4" t="s">
        <v>165</v>
      </c>
      <c r="B34" s="34" t="s">
        <v>166</v>
      </c>
      <c r="C34" s="43" t="n">
        <v>1800</v>
      </c>
      <c r="D34" s="20" t="n">
        <v>1900</v>
      </c>
      <c r="E34" s="28" t="n">
        <v>5.7</v>
      </c>
      <c r="F34" s="33" t="n">
        <f aca="false">C34*E34</f>
        <v>10260</v>
      </c>
      <c r="G34" s="7" t="n">
        <f aca="false">F34*1000*Assumptions!$D$18/1000000</f>
        <v>2565</v>
      </c>
    </row>
    <row r="35" customFormat="false" ht="15" hidden="false" customHeight="true" outlineLevel="0" collapsed="false">
      <c r="A35" s="4" t="s">
        <v>167</v>
      </c>
      <c r="B35" s="34" t="s">
        <v>168</v>
      </c>
      <c r="C35" s="43" t="n">
        <v>2000</v>
      </c>
      <c r="D35" s="20" t="n">
        <v>1850</v>
      </c>
      <c r="E35" s="28" t="n">
        <v>5.4</v>
      </c>
      <c r="F35" s="33" t="n">
        <f aca="false">C35*E35</f>
        <v>10800</v>
      </c>
      <c r="G35" s="7" t="n">
        <f aca="false">F35*1000*Assumptions!$D$18/1000000</f>
        <v>2700</v>
      </c>
    </row>
    <row r="36" customFormat="false" ht="15" hidden="false" customHeight="true" outlineLevel="0" collapsed="false">
      <c r="A36" s="4" t="s">
        <v>169</v>
      </c>
      <c r="B36" s="34" t="s">
        <v>170</v>
      </c>
      <c r="C36" s="43" t="n">
        <v>1000</v>
      </c>
      <c r="D36" s="20" t="n">
        <v>2100</v>
      </c>
      <c r="E36" s="28" t="n">
        <v>5.5</v>
      </c>
      <c r="F36" s="33" t="n">
        <f aca="false">C36*E36</f>
        <v>5500</v>
      </c>
      <c r="G36" s="7" t="n">
        <f aca="false">F36*1000*Assumptions!$D$18/1000000</f>
        <v>1375</v>
      </c>
    </row>
    <row r="37" customFormat="false" ht="15" hidden="false" customHeight="true" outlineLevel="0" collapsed="false">
      <c r="A37" s="4" t="s">
        <v>171</v>
      </c>
      <c r="B37" s="34" t="s">
        <v>172</v>
      </c>
      <c r="C37" s="43" t="n">
        <v>800</v>
      </c>
      <c r="D37" s="20" t="n">
        <v>2000</v>
      </c>
      <c r="E37" s="28" t="n">
        <v>5.3</v>
      </c>
      <c r="F37" s="33" t="n">
        <f aca="false">C37*E37</f>
        <v>4240</v>
      </c>
      <c r="G37" s="7" t="n">
        <f aca="false">F37*1000*Assumptions!$D$18/1000000</f>
        <v>1060</v>
      </c>
    </row>
    <row r="38" customFormat="false" ht="15" hidden="false" customHeight="true" outlineLevel="0" collapsed="false">
      <c r="A38" s="4" t="s">
        <v>173</v>
      </c>
      <c r="B38" s="34" t="s">
        <v>174</v>
      </c>
      <c r="C38" s="43" t="n">
        <v>2000</v>
      </c>
      <c r="D38" s="20" t="n">
        <v>1700</v>
      </c>
      <c r="E38" s="28" t="n">
        <v>5.7</v>
      </c>
      <c r="F38" s="33" t="n">
        <f aca="false">C38*E38</f>
        <v>11400</v>
      </c>
      <c r="G38" s="7" t="n">
        <f aca="false">F38*1000*Assumptions!$D$18/1000000</f>
        <v>2850</v>
      </c>
    </row>
    <row r="39" customFormat="false" ht="15" hidden="false" customHeight="true" outlineLevel="0" collapsed="false">
      <c r="A39" s="4" t="s">
        <v>175</v>
      </c>
      <c r="B39" s="34" t="s">
        <v>176</v>
      </c>
      <c r="C39" s="43" t="n">
        <v>194</v>
      </c>
      <c r="D39" s="20" t="n">
        <v>3000</v>
      </c>
      <c r="E39" s="28" t="n">
        <v>1.5</v>
      </c>
      <c r="F39" s="33" t="n">
        <f aca="false">C39*E39</f>
        <v>291</v>
      </c>
      <c r="G39" s="7" t="n">
        <f aca="false">F39*1000*Assumptions!$D$18/1000000</f>
        <v>72.75</v>
      </c>
    </row>
    <row r="40" customFormat="false" ht="15" hidden="false" customHeight="true" outlineLevel="0" collapsed="false">
      <c r="A40" s="4" t="s">
        <v>177</v>
      </c>
      <c r="B40" s="34" t="s">
        <v>178</v>
      </c>
      <c r="C40" s="43" t="n">
        <v>200</v>
      </c>
      <c r="D40" s="20" t="n">
        <v>2200</v>
      </c>
      <c r="E40" s="28" t="n">
        <v>1.2</v>
      </c>
      <c r="F40" s="33" t="n">
        <f aca="false">C40*E40</f>
        <v>240</v>
      </c>
      <c r="G40" s="7" t="n">
        <f aca="false">F40*1000*Assumptions!$D$18/1000000</f>
        <v>60</v>
      </c>
    </row>
    <row r="41" customFormat="false" ht="15" hidden="false" customHeight="true" outlineLevel="0" collapsed="false">
      <c r="A41" s="35" t="s">
        <v>179</v>
      </c>
      <c r="C41" s="37" t="n">
        <f aca="false">SUM(C34:C40)</f>
        <v>7994</v>
      </c>
      <c r="F41" s="37" t="n">
        <f aca="false">SUM(F34:F40)</f>
        <v>42731</v>
      </c>
      <c r="G41" s="38" t="n">
        <f aca="false">SUM(G34:G40)</f>
        <v>10682.75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5"/>
    <col collapsed="false" customWidth="true" hidden="false" outlineLevel="0" max="2" min="2" style="1" width="18"/>
    <col collapsed="false" customWidth="true" hidden="false" outlineLevel="0" max="3" min="3" style="1" width="35"/>
  </cols>
  <sheetData>
    <row r="1" customFormat="false" ht="19.5" hidden="false" customHeight="true" outlineLevel="0" collapsed="false">
      <c r="A1" s="2" t="s">
        <v>180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181</v>
      </c>
      <c r="B2" s="3"/>
      <c r="C2" s="3"/>
      <c r="D2" s="3"/>
      <c r="E2" s="3"/>
    </row>
    <row r="4" customFormat="false" ht="15" hidden="false" customHeight="true" outlineLevel="0" collapsed="false">
      <c r="A4" s="13" t="s">
        <v>182</v>
      </c>
      <c r="B4" s="14"/>
      <c r="C4" s="14"/>
      <c r="D4" s="14"/>
      <c r="E4" s="14"/>
    </row>
    <row r="5" customFormat="false" ht="15" hidden="false" customHeight="true" outlineLevel="0" collapsed="false">
      <c r="A5" s="1" t="s">
        <v>183</v>
      </c>
      <c r="B5" s="43" t="n">
        <v>10</v>
      </c>
      <c r="C5" s="1" t="s">
        <v>184</v>
      </c>
    </row>
    <row r="6" customFormat="false" ht="15" hidden="false" customHeight="true" outlineLevel="0" collapsed="false">
      <c r="A6" s="1" t="s">
        <v>185</v>
      </c>
      <c r="B6" s="43" t="n">
        <v>1500</v>
      </c>
      <c r="C6" s="1" t="s">
        <v>186</v>
      </c>
    </row>
    <row r="7" customFormat="false" ht="15" hidden="false" customHeight="true" outlineLevel="0" collapsed="false">
      <c r="A7" s="1" t="s">
        <v>187</v>
      </c>
      <c r="B7" s="33" t="n">
        <f aca="false">B5*B6</f>
        <v>15000</v>
      </c>
      <c r="C7" s="1" t="s">
        <v>188</v>
      </c>
    </row>
    <row r="8" customFormat="false" ht="15" hidden="false" customHeight="true" outlineLevel="0" collapsed="false">
      <c r="A8" s="1" t="s">
        <v>189</v>
      </c>
      <c r="B8" s="43" t="n">
        <v>200000</v>
      </c>
      <c r="C8" s="1" t="s">
        <v>190</v>
      </c>
    </row>
    <row r="9" customFormat="false" ht="15" hidden="false" customHeight="true" outlineLevel="0" collapsed="false">
      <c r="A9" s="1" t="s">
        <v>191</v>
      </c>
      <c r="B9" s="20" t="n">
        <v>30000</v>
      </c>
      <c r="C9" s="1" t="s">
        <v>192</v>
      </c>
    </row>
    <row r="10" customFormat="false" ht="15" hidden="false" customHeight="true" outlineLevel="0" collapsed="false">
      <c r="A10" s="1" t="s">
        <v>193</v>
      </c>
      <c r="B10" s="46" t="n">
        <f aca="false">B8*B9/1000000</f>
        <v>6000</v>
      </c>
      <c r="C10" s="1" t="s">
        <v>194</v>
      </c>
    </row>
    <row r="12" customFormat="false" ht="15" hidden="false" customHeight="true" outlineLevel="0" collapsed="false">
      <c r="A12" s="13" t="s">
        <v>195</v>
      </c>
      <c r="B12" s="14"/>
      <c r="C12" s="14"/>
      <c r="D12" s="14"/>
      <c r="E12" s="14"/>
    </row>
    <row r="13" customFormat="false" ht="15" hidden="false" customHeight="true" outlineLevel="0" collapsed="false">
      <c r="A13" s="1" t="s">
        <v>196</v>
      </c>
      <c r="B13" s="43" t="n">
        <v>1200</v>
      </c>
      <c r="C13" s="1" t="s">
        <v>184</v>
      </c>
    </row>
    <row r="14" customFormat="false" ht="15" hidden="false" customHeight="true" outlineLevel="0" collapsed="false">
      <c r="A14" s="1" t="s">
        <v>197</v>
      </c>
      <c r="B14" s="43" t="n">
        <v>250</v>
      </c>
      <c r="C14" s="1" t="s">
        <v>198</v>
      </c>
    </row>
    <row r="15" customFormat="false" ht="15" hidden="false" customHeight="true" outlineLevel="0" collapsed="false">
      <c r="A15" s="1" t="s">
        <v>199</v>
      </c>
      <c r="B15" s="33" t="n">
        <f aca="false">B13*B14</f>
        <v>300000</v>
      </c>
      <c r="C15" s="1" t="s">
        <v>188</v>
      </c>
    </row>
    <row r="16" customFormat="false" ht="15" hidden="false" customHeight="true" outlineLevel="0" collapsed="false">
      <c r="A16" s="1" t="s">
        <v>200</v>
      </c>
      <c r="B16" s="33" t="n">
        <f aca="false">5500*B14</f>
        <v>1375000</v>
      </c>
      <c r="C16" s="1" t="s">
        <v>188</v>
      </c>
    </row>
    <row r="17" customFormat="false" ht="15" hidden="false" customHeight="true" outlineLevel="0" collapsed="false">
      <c r="A17" s="1" t="s">
        <v>201</v>
      </c>
      <c r="B17" s="20" t="n">
        <v>5000</v>
      </c>
      <c r="C17" s="1" t="s">
        <v>80</v>
      </c>
    </row>
    <row r="18" customFormat="false" ht="15" hidden="false" customHeight="true" outlineLevel="0" collapsed="false">
      <c r="A18" s="1" t="s">
        <v>202</v>
      </c>
      <c r="B18" s="46" t="n">
        <f aca="false">B16*B17/1000000</f>
        <v>6875</v>
      </c>
      <c r="C18" s="1" t="s">
        <v>194</v>
      </c>
    </row>
    <row r="20" customFormat="false" ht="15" hidden="false" customHeight="true" outlineLevel="0" collapsed="false">
      <c r="A20" s="13" t="s">
        <v>203</v>
      </c>
      <c r="B20" s="14"/>
      <c r="C20" s="14"/>
      <c r="D20" s="14"/>
      <c r="E20" s="14"/>
    </row>
    <row r="21" customFormat="false" ht="15" hidden="false" customHeight="true" outlineLevel="0" collapsed="false">
      <c r="A21" s="1" t="s">
        <v>204</v>
      </c>
      <c r="B21" s="47" t="n">
        <f aca="false">B10+B18</f>
        <v>12875</v>
      </c>
      <c r="C21" s="1" t="s">
        <v>194</v>
      </c>
    </row>
    <row r="23" customFormat="false" ht="15" hidden="false" customHeight="true" outlineLevel="0" collapsed="false">
      <c r="A23" s="48" t="s">
        <v>205</v>
      </c>
    </row>
    <row r="24" customFormat="false" ht="15" hidden="false" customHeight="true" outlineLevel="0" collapsed="false">
      <c r="A24" s="49" t="s">
        <v>206</v>
      </c>
      <c r="B24" s="49"/>
      <c r="C24" s="49"/>
      <c r="D24" s="49"/>
      <c r="E24" s="49"/>
    </row>
    <row r="25" customFormat="false" ht="15" hidden="false" customHeight="true" outlineLevel="0" collapsed="false">
      <c r="A25" s="49" t="s">
        <v>207</v>
      </c>
      <c r="B25" s="49"/>
      <c r="C25" s="49"/>
      <c r="D25" s="49"/>
      <c r="E25" s="49"/>
    </row>
    <row r="26" customFormat="false" ht="15" hidden="false" customHeight="true" outlineLevel="0" collapsed="false">
      <c r="A26" s="49" t="s">
        <v>208</v>
      </c>
      <c r="B26" s="49"/>
      <c r="C26" s="49"/>
      <c r="D26" s="49"/>
      <c r="E26" s="49"/>
    </row>
    <row r="27" customFormat="false" ht="15" hidden="false" customHeight="true" outlineLevel="0" collapsed="false">
      <c r="A27" s="49" t="s">
        <v>209</v>
      </c>
      <c r="B27" s="49"/>
      <c r="C27" s="49"/>
      <c r="D27" s="49"/>
      <c r="E27" s="49"/>
    </row>
  </sheetData>
  <mergeCells count="6">
    <mergeCell ref="A1:E1"/>
    <mergeCell ref="A2:E2"/>
    <mergeCell ref="A24:E24"/>
    <mergeCell ref="A25:E25"/>
    <mergeCell ref="A26:E26"/>
    <mergeCell ref="A27:E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2" min="2" style="1" width="12"/>
    <col collapsed="false" customWidth="true" hidden="false" outlineLevel="0" max="12" min="3" style="1" width="13"/>
  </cols>
  <sheetData>
    <row r="1" customFormat="false" ht="19.5" hidden="false" customHeight="true" outlineLevel="0" collapsed="false">
      <c r="A1" s="2" t="s">
        <v>210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true" outlineLevel="0" collapsed="false">
      <c r="A2" s="3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true" outlineLevel="0" collapsed="false">
      <c r="A4" s="50" t="s">
        <v>95</v>
      </c>
      <c r="B4" s="50" t="s">
        <v>212</v>
      </c>
      <c r="C4" s="51" t="n">
        <v>2026</v>
      </c>
      <c r="D4" s="51" t="n">
        <v>2027</v>
      </c>
      <c r="E4" s="51" t="n">
        <v>2028</v>
      </c>
      <c r="F4" s="51" t="n">
        <v>2029</v>
      </c>
      <c r="G4" s="51" t="n">
        <v>2030</v>
      </c>
      <c r="H4" s="51" t="n">
        <v>2031</v>
      </c>
      <c r="I4" s="51" t="n">
        <v>2032</v>
      </c>
      <c r="J4" s="51" t="n">
        <v>2033</v>
      </c>
      <c r="K4" s="51" t="n">
        <v>2034</v>
      </c>
      <c r="L4" s="51" t="n">
        <v>2035</v>
      </c>
    </row>
    <row r="6" customFormat="false" ht="15" hidden="false" customHeight="true" outlineLevel="0" collapsed="false">
      <c r="A6" s="13" t="s">
        <v>213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customFormat="false" ht="15" hidden="false" customHeight="true" outlineLevel="0" collapsed="false">
      <c r="A7" s="4" t="s">
        <v>214</v>
      </c>
      <c r="B7" s="15" t="s">
        <v>215</v>
      </c>
      <c r="C7" s="52" t="n">
        <f aca="false">Assumptions!F37</f>
        <v>0</v>
      </c>
      <c r="D7" s="52" t="n">
        <f aca="false">Assumptions!F38</f>
        <v>3</v>
      </c>
      <c r="E7" s="52" t="n">
        <f aca="false">Assumptions!F39</f>
        <v>50</v>
      </c>
      <c r="F7" s="52" t="n">
        <f aca="false">Assumptions!F40</f>
        <v>400</v>
      </c>
      <c r="G7" s="52" t="n">
        <f aca="false">Assumptions!F41</f>
        <v>2500</v>
      </c>
      <c r="H7" s="52" t="n">
        <f aca="false">Assumptions!F42</f>
        <v>8000</v>
      </c>
      <c r="I7" s="52" t="n">
        <f aca="false">Assumptions!F43</f>
        <v>18000</v>
      </c>
      <c r="J7" s="52" t="n">
        <f aca="false">Assumptions!F44</f>
        <v>35000</v>
      </c>
      <c r="K7" s="52" t="n">
        <f aca="false">Assumptions!F45</f>
        <v>60000</v>
      </c>
      <c r="L7" s="52" t="n">
        <f aca="false">Assumptions!F46</f>
        <v>90000</v>
      </c>
    </row>
    <row r="8" customFormat="false" ht="15" hidden="false" customHeight="true" outlineLevel="0" collapsed="false">
      <c r="A8" s="53" t="s">
        <v>216</v>
      </c>
      <c r="B8" s="15" t="s">
        <v>217</v>
      </c>
      <c r="C8" s="33" t="n">
        <f aca="false">C7*Assumptions!$F$9</f>
        <v>0</v>
      </c>
      <c r="D8" s="33" t="n">
        <f aca="false">D7*Assumptions!$F$9</f>
        <v>11.01</v>
      </c>
      <c r="E8" s="33" t="n">
        <f aca="false">E7*Assumptions!$F$9</f>
        <v>183.5</v>
      </c>
      <c r="F8" s="33" t="n">
        <f aca="false">F7*Assumptions!$F$9</f>
        <v>1468</v>
      </c>
      <c r="G8" s="33" t="n">
        <f aca="false">G7*Assumptions!$F$9</f>
        <v>9175</v>
      </c>
      <c r="H8" s="33" t="n">
        <f aca="false">H7*Assumptions!$F$9</f>
        <v>29360</v>
      </c>
      <c r="I8" s="33" t="n">
        <f aca="false">I7*Assumptions!$F$9</f>
        <v>66060</v>
      </c>
      <c r="J8" s="33" t="n">
        <f aca="false">J7*Assumptions!$F$9</f>
        <v>128450</v>
      </c>
      <c r="K8" s="33" t="n">
        <f aca="false">K7*Assumptions!$F$9</f>
        <v>220200</v>
      </c>
      <c r="L8" s="33" t="n">
        <f aca="false">L7*Assumptions!$F$9</f>
        <v>330300</v>
      </c>
    </row>
    <row r="10" customFormat="false" ht="15" hidden="false" customHeight="true" outlineLevel="0" collapsed="false">
      <c r="A10" s="13" t="s">
        <v>218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customFormat="false" ht="15" hidden="false" customHeight="true" outlineLevel="0" collapsed="false">
      <c r="A11" s="53" t="s">
        <v>219</v>
      </c>
      <c r="B11" s="15" t="s">
        <v>66</v>
      </c>
      <c r="C11" s="21" t="n">
        <v>0</v>
      </c>
      <c r="D11" s="21" t="n">
        <f aca="false">Assumptions!$F$18*(1+Assumptions!$F$19)^(2027-2027)</f>
        <v>250</v>
      </c>
      <c r="E11" s="21" t="n">
        <f aca="false">Assumptions!$F$18*(1+Assumptions!$F$19)^(2028-2027)</f>
        <v>262.5</v>
      </c>
      <c r="F11" s="21" t="n">
        <f aca="false">Assumptions!$F$18*(1+Assumptions!$F$19)^(2029-2027)</f>
        <v>275.625</v>
      </c>
      <c r="G11" s="21" t="n">
        <f aca="false">Assumptions!$F$18*(1+Assumptions!$F$19)^(2030-2027)</f>
        <v>289.40625</v>
      </c>
      <c r="H11" s="21" t="n">
        <f aca="false">Assumptions!$F$18*(1+Assumptions!$F$19)^(2031-2027)</f>
        <v>303.8765625</v>
      </c>
      <c r="I11" s="21" t="n">
        <f aca="false">Assumptions!$F$18*(1+Assumptions!$F$19)^(2032-2027)</f>
        <v>319.070390625</v>
      </c>
      <c r="J11" s="21" t="n">
        <f aca="false">Assumptions!$F$18*(1+Assumptions!$F$19)^(2033-2027)</f>
        <v>335.02391015625</v>
      </c>
      <c r="K11" s="21" t="n">
        <f aca="false">Assumptions!$F$18*(1+Assumptions!$F$19)^(2034-2027)</f>
        <v>351.775105664063</v>
      </c>
      <c r="L11" s="21" t="n">
        <f aca="false">Assumptions!$F$18*(1+Assumptions!$F$19)^(2035-2027)</f>
        <v>369.363860947266</v>
      </c>
    </row>
    <row r="12" customFormat="false" ht="15" hidden="false" customHeight="true" outlineLevel="0" collapsed="false">
      <c r="A12" s="53" t="s">
        <v>220</v>
      </c>
      <c r="B12" s="15" t="s">
        <v>80</v>
      </c>
      <c r="C12" s="7" t="n">
        <f aca="false">Assumptions!$F$20</f>
        <v>4000</v>
      </c>
      <c r="D12" s="7" t="n">
        <f aca="false">Assumptions!$F$20</f>
        <v>4000</v>
      </c>
      <c r="E12" s="7" t="n">
        <f aca="false">Assumptions!$F$20</f>
        <v>4000</v>
      </c>
      <c r="F12" s="7" t="n">
        <f aca="false">Assumptions!$F$20</f>
        <v>4000</v>
      </c>
      <c r="G12" s="7" t="n">
        <f aca="false">Assumptions!$F$20</f>
        <v>4000</v>
      </c>
      <c r="H12" s="7" t="n">
        <f aca="false">Assumptions!$F$20</f>
        <v>4000</v>
      </c>
      <c r="I12" s="7" t="n">
        <f aca="false">Assumptions!$F$20</f>
        <v>4000</v>
      </c>
      <c r="J12" s="7" t="n">
        <f aca="false">Assumptions!$F$20</f>
        <v>4000</v>
      </c>
      <c r="K12" s="7" t="n">
        <f aca="false">Assumptions!$F$20</f>
        <v>4000</v>
      </c>
      <c r="L12" s="7" t="n">
        <f aca="false">Assumptions!$F$20</f>
        <v>4000</v>
      </c>
    </row>
    <row r="13" customFormat="false" ht="15" hidden="false" customHeight="true" outlineLevel="0" collapsed="false">
      <c r="A13" s="53" t="s">
        <v>221</v>
      </c>
      <c r="B13" s="15" t="s">
        <v>80</v>
      </c>
      <c r="C13" s="7" t="n">
        <f aca="false">Assumptions!$F$22</f>
        <v>30000</v>
      </c>
      <c r="D13" s="7" t="n">
        <f aca="false">Assumptions!$F$22</f>
        <v>30000</v>
      </c>
      <c r="E13" s="7" t="n">
        <f aca="false">Assumptions!$F$22</f>
        <v>30000</v>
      </c>
      <c r="F13" s="7" t="n">
        <f aca="false">Assumptions!$F$22</f>
        <v>30000</v>
      </c>
      <c r="G13" s="7" t="n">
        <f aca="false">Assumptions!$F$22</f>
        <v>30000</v>
      </c>
      <c r="H13" s="7" t="n">
        <f aca="false">Assumptions!$F$22</f>
        <v>30000</v>
      </c>
      <c r="I13" s="7" t="n">
        <f aca="false">Assumptions!$F$22</f>
        <v>30000</v>
      </c>
      <c r="J13" s="7" t="n">
        <f aca="false">Assumptions!$F$22</f>
        <v>30000</v>
      </c>
      <c r="K13" s="7" t="n">
        <f aca="false">Assumptions!$F$22</f>
        <v>30000</v>
      </c>
      <c r="L13" s="7" t="n">
        <f aca="false">Assumptions!$F$22</f>
        <v>30000</v>
      </c>
    </row>
    <row r="14" customFormat="false" ht="15" hidden="false" customHeight="true" outlineLevel="0" collapsed="false">
      <c r="A14" s="53" t="s">
        <v>222</v>
      </c>
      <c r="B14" s="15" t="s">
        <v>80</v>
      </c>
      <c r="C14" s="7" t="n">
        <f aca="false">Assumptions!$F$23</f>
        <v>5000</v>
      </c>
      <c r="D14" s="7" t="n">
        <f aca="false">Assumptions!$F$23</f>
        <v>5000</v>
      </c>
      <c r="E14" s="7" t="n">
        <f aca="false">Assumptions!$F$23</f>
        <v>5000</v>
      </c>
      <c r="F14" s="7" t="n">
        <f aca="false">Assumptions!$F$23</f>
        <v>5000</v>
      </c>
      <c r="G14" s="7" t="n">
        <f aca="false">Assumptions!$F$23</f>
        <v>5000</v>
      </c>
      <c r="H14" s="7" t="n">
        <f aca="false">Assumptions!$F$23</f>
        <v>5000</v>
      </c>
      <c r="I14" s="7" t="n">
        <f aca="false">Assumptions!$F$23</f>
        <v>5000</v>
      </c>
      <c r="J14" s="7" t="n">
        <f aca="false">Assumptions!$F$23</f>
        <v>5000</v>
      </c>
      <c r="K14" s="7" t="n">
        <f aca="false">Assumptions!$F$23</f>
        <v>5000</v>
      </c>
      <c r="L14" s="7" t="n">
        <f aca="false">Assumptions!$F$23</f>
        <v>5000</v>
      </c>
    </row>
    <row r="15" customFormat="false" ht="15" hidden="false" customHeight="true" outlineLevel="0" collapsed="false">
      <c r="A15" s="53" t="s">
        <v>223</v>
      </c>
      <c r="B15" s="15" t="s">
        <v>80</v>
      </c>
      <c r="C15" s="7" t="n">
        <f aca="false">Assumptions!$F$24</f>
        <v>20000</v>
      </c>
      <c r="D15" s="7" t="n">
        <f aca="false">Assumptions!$F$24</f>
        <v>20000</v>
      </c>
      <c r="E15" s="7" t="n">
        <f aca="false">Assumptions!$F$24</f>
        <v>20000</v>
      </c>
      <c r="F15" s="7" t="n">
        <f aca="false">Assumptions!$F$24</f>
        <v>20000</v>
      </c>
      <c r="G15" s="7" t="n">
        <f aca="false">Assumptions!$F$24</f>
        <v>20000</v>
      </c>
      <c r="H15" s="7" t="n">
        <f aca="false">Assumptions!$F$24</f>
        <v>20000</v>
      </c>
      <c r="I15" s="7" t="n">
        <f aca="false">Assumptions!$F$24</f>
        <v>20000</v>
      </c>
      <c r="J15" s="7" t="n">
        <f aca="false">Assumptions!$F$24</f>
        <v>20000</v>
      </c>
      <c r="K15" s="7" t="n">
        <f aca="false">Assumptions!$F$24</f>
        <v>20000</v>
      </c>
      <c r="L15" s="7" t="n">
        <f aca="false">Assumptions!$F$24</f>
        <v>20000</v>
      </c>
    </row>
    <row r="17" customFormat="false" ht="15" hidden="false" customHeight="true" outlineLevel="0" collapsed="false">
      <c r="A17" s="13" t="s">
        <v>224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customFormat="false" ht="15" hidden="false" customHeight="true" outlineLevel="0" collapsed="false">
      <c r="A18" s="53" t="s">
        <v>225</v>
      </c>
      <c r="B18" s="15" t="s">
        <v>226</v>
      </c>
      <c r="C18" s="21" t="n">
        <f aca="false">C8*C11/1000000</f>
        <v>0</v>
      </c>
      <c r="D18" s="21" t="n">
        <f aca="false">D8*D11/1000000</f>
        <v>0.0027525</v>
      </c>
      <c r="E18" s="21" t="n">
        <f aca="false">E8*E11/1000000</f>
        <v>0.04816875</v>
      </c>
      <c r="F18" s="21" t="n">
        <f aca="false">F8*F11/1000000</f>
        <v>0.4046175</v>
      </c>
      <c r="G18" s="21" t="n">
        <f aca="false">G8*G11/1000000</f>
        <v>2.65530234375</v>
      </c>
      <c r="H18" s="21" t="n">
        <f aca="false">H8*H11/1000000</f>
        <v>8.921815875</v>
      </c>
      <c r="I18" s="21" t="n">
        <f aca="false">I8*I11/1000000</f>
        <v>21.0777900046875</v>
      </c>
      <c r="J18" s="21" t="n">
        <f aca="false">J8*J11/1000000</f>
        <v>43.0338212595703</v>
      </c>
      <c r="K18" s="21" t="n">
        <f aca="false">K8*K11/1000000</f>
        <v>77.4608782672266</v>
      </c>
      <c r="L18" s="21" t="n">
        <f aca="false">L8*L11/1000000</f>
        <v>122.000883270882</v>
      </c>
    </row>
    <row r="19" customFormat="false" ht="15" hidden="false" customHeight="true" outlineLevel="0" collapsed="false">
      <c r="A19" s="53" t="s">
        <v>227</v>
      </c>
      <c r="B19" s="15" t="s">
        <v>226</v>
      </c>
      <c r="C19" s="21" t="n">
        <v>0</v>
      </c>
      <c r="D19" s="21" t="n">
        <f aca="false">1*Assumptions!$F$28/1000000</f>
        <v>0.3</v>
      </c>
      <c r="E19" s="21" t="n">
        <f aca="false">1*Assumptions!$F$29*Assumptions!$F$28/1000000</f>
        <v>0.9</v>
      </c>
      <c r="F19" s="21" t="n">
        <f aca="false">0.6*Assumptions!$F$29*Assumptions!$F$28/1000000</f>
        <v>0.54</v>
      </c>
      <c r="G19" s="21" t="n">
        <f aca="false">0.3*Assumptions!$F$29*Assumptions!$F$28/1000000</f>
        <v>0.27</v>
      </c>
      <c r="H19" s="21" t="n">
        <f aca="false">0*Assumptions!$F$29*Assumptions!$F$28/1000000</f>
        <v>0</v>
      </c>
      <c r="I19" s="21" t="n">
        <f aca="false">0*Assumptions!$F$29*Assumptions!$F$28/1000000</f>
        <v>0</v>
      </c>
      <c r="J19" s="21" t="n">
        <f aca="false">0*Assumptions!$F$29*Assumptions!$F$28/1000000</f>
        <v>0</v>
      </c>
      <c r="K19" s="21" t="n">
        <f aca="false">0*Assumptions!$F$29*Assumptions!$F$28/1000000</f>
        <v>0</v>
      </c>
      <c r="L19" s="21" t="n">
        <f aca="false">0*Assumptions!$F$29*Assumptions!$F$28/1000000</f>
        <v>0</v>
      </c>
    </row>
    <row r="20" customFormat="false" ht="15" hidden="false" customHeight="true" outlineLevel="0" collapsed="false">
      <c r="A20" s="53" t="s">
        <v>228</v>
      </c>
      <c r="B20" s="15" t="s">
        <v>226</v>
      </c>
      <c r="C20" s="21" t="n">
        <f aca="false">0*Assumptions!$F$33*Assumptions!$F$32/1000000</f>
        <v>0</v>
      </c>
      <c r="D20" s="21" t="n">
        <f aca="false">0*Assumptions!$F$33*Assumptions!$F$32/1000000</f>
        <v>0</v>
      </c>
      <c r="E20" s="21" t="n">
        <f aca="false">0.5*Assumptions!$F$33*Assumptions!$F$32/1000000</f>
        <v>0.45</v>
      </c>
      <c r="F20" s="21" t="n">
        <f aca="false">1*Assumptions!$F$33*Assumptions!$F$32/1000000</f>
        <v>0.9</v>
      </c>
      <c r="G20" s="21" t="n">
        <f aca="false">1*Assumptions!$F$33*Assumptions!$F$32/1000000</f>
        <v>0.9</v>
      </c>
      <c r="H20" s="21" t="n">
        <f aca="false">1*Assumptions!$F$33*Assumptions!$F$32/1000000</f>
        <v>0.9</v>
      </c>
      <c r="I20" s="21" t="n">
        <f aca="false">1*Assumptions!$F$33*Assumptions!$F$32/1000000</f>
        <v>0.9</v>
      </c>
      <c r="J20" s="21" t="n">
        <f aca="false">1*Assumptions!$F$33*Assumptions!$F$32/1000000</f>
        <v>0.9</v>
      </c>
      <c r="K20" s="21" t="n">
        <f aca="false">1*Assumptions!$F$33*Assumptions!$F$32/1000000</f>
        <v>0.9</v>
      </c>
      <c r="L20" s="21" t="n">
        <f aca="false">1*Assumptions!$F$33*Assumptions!$F$32/1000000</f>
        <v>0.9</v>
      </c>
    </row>
    <row r="22" customFormat="false" ht="15" hidden="false" customHeight="true" outlineLevel="0" collapsed="false">
      <c r="A22" s="13" t="s">
        <v>229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customFormat="false" ht="15" hidden="false" customHeight="true" outlineLevel="0" collapsed="false">
      <c r="A23" s="53" t="s">
        <v>230</v>
      </c>
      <c r="B23" s="15" t="s">
        <v>226</v>
      </c>
      <c r="C23" s="21" t="n">
        <v>0</v>
      </c>
      <c r="D23" s="21" t="n">
        <v>0</v>
      </c>
      <c r="E23" s="21" t="n">
        <f aca="false">1*Assumptions!$F$31/4*Assumptions!$F$30/1000000</f>
        <v>5</v>
      </c>
      <c r="F23" s="21" t="n">
        <f aca="false">1*Assumptions!$F$31/4*Assumptions!$F$30/1000000</f>
        <v>5</v>
      </c>
      <c r="G23" s="21" t="n">
        <f aca="false">1*Assumptions!$F$31/4*Assumptions!$F$30/1000000</f>
        <v>5</v>
      </c>
      <c r="H23" s="21" t="n">
        <f aca="false">1*Assumptions!$F$31/4*Assumptions!$F$30/1000000</f>
        <v>5</v>
      </c>
      <c r="I23" s="21" t="n">
        <v>0</v>
      </c>
      <c r="J23" s="21" t="n">
        <v>0</v>
      </c>
      <c r="K23" s="21" t="n">
        <v>0</v>
      </c>
      <c r="L23" s="21" t="n">
        <v>0</v>
      </c>
    </row>
    <row r="25" customFormat="false" ht="15" hidden="false" customHeight="true" outlineLevel="0" collapsed="false">
      <c r="A25" s="13" t="s">
        <v>231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customFormat="false" ht="15" hidden="false" customHeight="true" outlineLevel="0" collapsed="false">
      <c r="A26" s="53" t="s">
        <v>232</v>
      </c>
      <c r="B26" s="15" t="s">
        <v>226</v>
      </c>
      <c r="C26" s="21" t="n">
        <v>0</v>
      </c>
      <c r="D26" s="21" t="n">
        <f aca="false">0.3*D7*D12/1000000</f>
        <v>0.0036</v>
      </c>
      <c r="E26" s="21" t="n">
        <f aca="false">0.3*E7*E12/1000000</f>
        <v>0.06</v>
      </c>
      <c r="F26" s="21" t="n">
        <f aca="false">0.3*F7*F12/1000000</f>
        <v>0.48</v>
      </c>
      <c r="G26" s="21" t="n">
        <f aca="false">Assumptions!$F$50*G7*G12*Assumptions!$F$21/1000000</f>
        <v>0.36</v>
      </c>
      <c r="H26" s="21" t="n">
        <f aca="false">Assumptions!$F$50*H7*H12*Assumptions!$F$21/1000000</f>
        <v>1.152</v>
      </c>
      <c r="I26" s="21" t="n">
        <f aca="false">Assumptions!$F$50*I7*I12*Assumptions!$F$21/1000000</f>
        <v>2.592</v>
      </c>
      <c r="J26" s="21" t="n">
        <f aca="false">Assumptions!$F$50*J7*J12*Assumptions!$F$21/1000000</f>
        <v>5.04</v>
      </c>
      <c r="K26" s="21" t="n">
        <f aca="false">Assumptions!$F$50*K7*K12*Assumptions!$F$21/1000000</f>
        <v>8.64</v>
      </c>
      <c r="L26" s="21" t="n">
        <f aca="false">Assumptions!$F$50*L7*L12*Assumptions!$F$21/1000000</f>
        <v>12.96</v>
      </c>
    </row>
    <row r="27" customFormat="false" ht="15" hidden="false" customHeight="true" outlineLevel="0" collapsed="false">
      <c r="A27" s="53" t="s">
        <v>233</v>
      </c>
      <c r="B27" s="15" t="s">
        <v>226</v>
      </c>
      <c r="C27" s="21" t="n">
        <v>0</v>
      </c>
      <c r="D27" s="21" t="n">
        <v>0</v>
      </c>
      <c r="E27" s="21" t="n">
        <v>0</v>
      </c>
      <c r="F27" s="21" t="n">
        <f aca="false">0.5*Assumptions!$F$51*F7*F13/1000000</f>
        <v>1.2</v>
      </c>
      <c r="G27" s="21" t="n">
        <f aca="false">Assumptions!$F$51*G7*G13/1000000</f>
        <v>15</v>
      </c>
      <c r="H27" s="21" t="n">
        <f aca="false">Assumptions!$F$51*H7*H13/1000000</f>
        <v>48</v>
      </c>
      <c r="I27" s="21" t="n">
        <f aca="false">Assumptions!$F$51*I7*I13/1000000</f>
        <v>108</v>
      </c>
      <c r="J27" s="21" t="n">
        <f aca="false">Assumptions!$F$51*J7*J13/1000000</f>
        <v>210</v>
      </c>
      <c r="K27" s="21" t="n">
        <f aca="false">Assumptions!$F$51*K7*K13/1000000</f>
        <v>360</v>
      </c>
      <c r="L27" s="21" t="n">
        <f aca="false">Assumptions!$F$51*L7*L13/1000000</f>
        <v>540</v>
      </c>
    </row>
    <row r="28" customFormat="false" ht="15" hidden="false" customHeight="true" outlineLevel="0" collapsed="false">
      <c r="A28" s="53" t="s">
        <v>234</v>
      </c>
      <c r="B28" s="15" t="s">
        <v>226</v>
      </c>
      <c r="C28" s="21" t="n">
        <v>0</v>
      </c>
      <c r="D28" s="21" t="n">
        <v>0</v>
      </c>
      <c r="E28" s="21" t="n">
        <v>0</v>
      </c>
      <c r="F28" s="21" t="n">
        <v>0</v>
      </c>
      <c r="G28" s="21" t="n">
        <f aca="false">Assumptions!$F$52*G7*G14/1000000</f>
        <v>1.875</v>
      </c>
      <c r="H28" s="21" t="n">
        <f aca="false">Assumptions!$F$52*H7*H14/1000000</f>
        <v>6</v>
      </c>
      <c r="I28" s="21" t="n">
        <f aca="false">Assumptions!$F$52*I7*I14/1000000</f>
        <v>13.5</v>
      </c>
      <c r="J28" s="21" t="n">
        <f aca="false">Assumptions!$F$52*J7*J14/1000000</f>
        <v>26.25</v>
      </c>
      <c r="K28" s="21" t="n">
        <f aca="false">Assumptions!$F$52*K7*K14/1000000</f>
        <v>45</v>
      </c>
      <c r="L28" s="21" t="n">
        <f aca="false">Assumptions!$F$52*L7*L14/1000000</f>
        <v>67.5</v>
      </c>
    </row>
    <row r="29" customFormat="false" ht="15" hidden="false" customHeight="true" outlineLevel="0" collapsed="false">
      <c r="A29" s="53" t="s">
        <v>235</v>
      </c>
      <c r="B29" s="15" t="s">
        <v>226</v>
      </c>
      <c r="C29" s="21" t="n">
        <v>0</v>
      </c>
      <c r="D29" s="21" t="n">
        <v>0</v>
      </c>
      <c r="E29" s="21" t="n">
        <v>0</v>
      </c>
      <c r="F29" s="21" t="n">
        <v>0</v>
      </c>
      <c r="G29" s="21" t="n">
        <v>0</v>
      </c>
      <c r="H29" s="21" t="n">
        <f aca="false">Assumptions!$F$53*H7*H15/1000000</f>
        <v>24</v>
      </c>
      <c r="I29" s="21" t="n">
        <f aca="false">Assumptions!$F$53*I7*I15/1000000</f>
        <v>54</v>
      </c>
      <c r="J29" s="21" t="n">
        <f aca="false">Assumptions!$F$53*J7*J15/1000000</f>
        <v>105</v>
      </c>
      <c r="K29" s="21" t="n">
        <f aca="false">Assumptions!$F$53*K7*K15/1000000</f>
        <v>180</v>
      </c>
      <c r="L29" s="21" t="n">
        <f aca="false">Assumptions!$F$53*L7*L15/1000000</f>
        <v>270</v>
      </c>
    </row>
    <row r="30" customFormat="false" ht="15" hidden="false" customHeight="true" outlineLevel="0" collapsed="false">
      <c r="A30" s="53" t="s">
        <v>236</v>
      </c>
      <c r="B30" s="15" t="s">
        <v>226</v>
      </c>
      <c r="C30" s="21" t="n">
        <v>0</v>
      </c>
      <c r="D30" s="21" t="n">
        <v>0</v>
      </c>
      <c r="E30" s="21" t="n">
        <v>0</v>
      </c>
      <c r="F30" s="21" t="n">
        <v>0</v>
      </c>
      <c r="G30" s="21" t="n">
        <v>0</v>
      </c>
      <c r="H30" s="21" t="n">
        <v>0</v>
      </c>
      <c r="I30" s="21" t="n">
        <f aca="false">Assumptions!$F$54*I7*50000/1000000</f>
        <v>45</v>
      </c>
      <c r="J30" s="21" t="n">
        <f aca="false">Assumptions!$F$54*J7*50000/1000000</f>
        <v>87.5</v>
      </c>
      <c r="K30" s="21" t="n">
        <f aca="false">Assumptions!$F$54*K7*50000/1000000</f>
        <v>150</v>
      </c>
      <c r="L30" s="21" t="n">
        <f aca="false">Assumptions!$F$54*L7*50000/1000000</f>
        <v>225</v>
      </c>
    </row>
    <row r="32" customFormat="false" ht="15" hidden="false" customHeight="true" outlineLevel="0" collapsed="false">
      <c r="A32" s="42" t="s">
        <v>237</v>
      </c>
      <c r="B32" s="54" t="s">
        <v>226</v>
      </c>
      <c r="C32" s="38" t="n">
        <f aca="false">C18+C19+C20+C23+C26+C27+C28+C29+C30</f>
        <v>0</v>
      </c>
      <c r="D32" s="38" t="n">
        <f aca="false">D18+D19+D20+D23+D26+D27+D28+D29+D30</f>
        <v>0.3063525</v>
      </c>
      <c r="E32" s="38" t="n">
        <f aca="false">E18+E19+E20+E23+E26+E27+E28+E29+E30</f>
        <v>6.45816875</v>
      </c>
      <c r="F32" s="38" t="n">
        <f aca="false">F18+F19+F20+F23+F26+F27+F28+F29+F30</f>
        <v>8.5246175</v>
      </c>
      <c r="G32" s="38" t="n">
        <f aca="false">G18+G19+G20+G23+G26+G27+G28+G29+G30</f>
        <v>26.06030234375</v>
      </c>
      <c r="H32" s="38" t="n">
        <f aca="false">H18+H19+H20+H23+H26+H27+H28+H29+H30</f>
        <v>93.973815875</v>
      </c>
      <c r="I32" s="38" t="n">
        <f aca="false">I18+I19+I20+I23+I26+I27+I28+I29+I30</f>
        <v>245.069790004688</v>
      </c>
      <c r="J32" s="38" t="n">
        <f aca="false">J18+J19+J20+J23+J26+J27+J28+J29+J30</f>
        <v>477.72382125957</v>
      </c>
      <c r="K32" s="38" t="n">
        <f aca="false">K18+K19+K20+K23+K26+K27+K28+K29+K30</f>
        <v>822.000878267227</v>
      </c>
      <c r="L32" s="38" t="n">
        <f aca="false">L18+L19+L20+L23+L26+L27+L28+L29+L30</f>
        <v>1238.36088327088</v>
      </c>
    </row>
    <row r="34" customFormat="false" ht="15" hidden="false" customHeight="true" outlineLevel="0" collapsed="false">
      <c r="A34" s="13" t="s">
        <v>238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customFormat="false" ht="15" hidden="false" customHeight="true" outlineLevel="0" collapsed="false">
      <c r="A35" s="53" t="s">
        <v>239</v>
      </c>
      <c r="B35" s="15" t="s">
        <v>240</v>
      </c>
      <c r="C35" s="19" t="n">
        <f aca="false">IFERROR(C18/C32,0)</f>
        <v>0</v>
      </c>
      <c r="D35" s="19" t="n">
        <f aca="false">IFERROR(D18/D32,0)</f>
        <v>0.00898474796190663</v>
      </c>
      <c r="E35" s="19" t="n">
        <f aca="false">IFERROR(E18/E32,0)</f>
        <v>0.0074585771701924</v>
      </c>
      <c r="F35" s="19" t="n">
        <f aca="false">IFERROR(F18/F32,0)</f>
        <v>0.0474645929861369</v>
      </c>
      <c r="G35" s="19" t="n">
        <f aca="false">IFERROR(G18/G32,0)</f>
        <v>0.101890695999036</v>
      </c>
      <c r="H35" s="19" t="n">
        <f aca="false">IFERROR(H18/H32,0)</f>
        <v>0.0949393806341484</v>
      </c>
      <c r="I35" s="19" t="n">
        <f aca="false">IFERROR(I18/I32,0)</f>
        <v>0.0860072961432103</v>
      </c>
      <c r="J35" s="19" t="n">
        <f aca="false">IFERROR(J18/J32,0)</f>
        <v>0.0900809617282785</v>
      </c>
      <c r="K35" s="19" t="n">
        <f aca="false">IFERROR(K18/K32,0)</f>
        <v>0.0942345444088986</v>
      </c>
      <c r="L35" s="19" t="n">
        <f aca="false">IFERROR(L18/L32,0)</f>
        <v>0.0985180369624087</v>
      </c>
    </row>
    <row r="36" customFormat="false" ht="15" hidden="false" customHeight="true" outlineLevel="0" collapsed="false">
      <c r="A36" s="53" t="s">
        <v>241</v>
      </c>
      <c r="B36" s="15" t="s">
        <v>240</v>
      </c>
      <c r="C36" s="19" t="n">
        <f aca="false">IFERROR((C19+C20)/C32,0)</f>
        <v>0</v>
      </c>
      <c r="D36" s="19" t="n">
        <f aca="false">IFERROR((D19+D20)/D32,0)</f>
        <v>0.979264083041594</v>
      </c>
      <c r="E36" s="19" t="n">
        <f aca="false">IFERROR((E19+E20)/E32,0)</f>
        <v>0.209037585151364</v>
      </c>
      <c r="F36" s="19" t="n">
        <f aca="false">IFERROR((F19+F20)/F32,0)</f>
        <v>0.168922535233986</v>
      </c>
      <c r="G36" s="19" t="n">
        <f aca="false">IFERROR((G19+G20)/G32,0)</f>
        <v>0.0448958720649916</v>
      </c>
      <c r="H36" s="19" t="n">
        <f aca="false">IFERROR((H19+H20)/H32,0)</f>
        <v>0.00957713583959538</v>
      </c>
      <c r="I36" s="19" t="n">
        <f aca="false">IFERROR((I19+I20)/I32,0)</f>
        <v>0.00367242327168431</v>
      </c>
      <c r="J36" s="19" t="n">
        <f aca="false">IFERROR((J19+J20)/J32,0)</f>
        <v>0.00188393368709782</v>
      </c>
      <c r="K36" s="19" t="n">
        <f aca="false">IFERROR((K19+K20)/K32,0)</f>
        <v>0.00109488934111262</v>
      </c>
      <c r="L36" s="19" t="n">
        <f aca="false">IFERROR((L19+L20)/L32,0)</f>
        <v>0.000726767142081257</v>
      </c>
    </row>
    <row r="37" customFormat="false" ht="15" hidden="false" customHeight="true" outlineLevel="0" collapsed="false">
      <c r="A37" s="53" t="s">
        <v>242</v>
      </c>
      <c r="B37" s="15" t="s">
        <v>240</v>
      </c>
      <c r="C37" s="19" t="n">
        <f aca="false">IFERROR(C23/C32,0)</f>
        <v>0</v>
      </c>
      <c r="D37" s="19" t="n">
        <f aca="false">IFERROR(D23/D32,0)</f>
        <v>0</v>
      </c>
      <c r="E37" s="19" t="n">
        <f aca="false">IFERROR(E23/E32,0)</f>
        <v>0.774213278338384</v>
      </c>
      <c r="F37" s="19" t="n">
        <f aca="false">IFERROR(F23/F32,0)</f>
        <v>0.586536580673561</v>
      </c>
      <c r="G37" s="19" t="n">
        <f aca="false">IFERROR(G23/G32,0)</f>
        <v>0.191862701132443</v>
      </c>
      <c r="H37" s="19" t="n">
        <f aca="false">IFERROR(H23/H32,0)</f>
        <v>0.0532063102199743</v>
      </c>
      <c r="I37" s="19" t="n">
        <f aca="false">IFERROR(I23/I32,0)</f>
        <v>0</v>
      </c>
      <c r="J37" s="19" t="n">
        <f aca="false">IFERROR(J23/J32,0)</f>
        <v>0</v>
      </c>
      <c r="K37" s="19" t="n">
        <f aca="false">IFERROR(K23/K32,0)</f>
        <v>0</v>
      </c>
      <c r="L37" s="19" t="n">
        <f aca="false">IFERROR(L23/L32,0)</f>
        <v>0</v>
      </c>
    </row>
    <row r="38" customFormat="false" ht="15" hidden="false" customHeight="true" outlineLevel="0" collapsed="false">
      <c r="A38" s="53" t="s">
        <v>243</v>
      </c>
      <c r="B38" s="15" t="s">
        <v>240</v>
      </c>
      <c r="C38" s="19" t="n">
        <f aca="false">IFERROR((C26+C27+C28+C29+C30)/C32,0)</f>
        <v>0</v>
      </c>
      <c r="D38" s="19" t="n">
        <f aca="false">IFERROR((D26+D27+D28+D29+D30)/D32,0)</f>
        <v>0.0117511689964991</v>
      </c>
      <c r="E38" s="19" t="n">
        <f aca="false">IFERROR((E26+E27+E28+E29+E30)/E32,0)</f>
        <v>0.0092905593400606</v>
      </c>
      <c r="F38" s="19" t="n">
        <f aca="false">IFERROR((F26+F27+F28+F29+F30)/F32,0)</f>
        <v>0.197076291106317</v>
      </c>
      <c r="G38" s="19" t="n">
        <f aca="false">IFERROR((G26+G27+G28+G29+G30)/G32,0)</f>
        <v>0.66135073080353</v>
      </c>
      <c r="H38" s="19" t="n">
        <f aca="false">IFERROR((H26+H27+H28+H29+H30)/H32,0)</f>
        <v>0.842277173306282</v>
      </c>
      <c r="I38" s="19" t="n">
        <f aca="false">IFERROR((I26+I27+I28+I29+I30)/I32,0)</f>
        <v>0.910320280585105</v>
      </c>
      <c r="J38" s="19" t="n">
        <f aca="false">IFERROR((J26+J27+J28+J29+J30)/J32,0)</f>
        <v>0.908035104584624</v>
      </c>
      <c r="K38" s="19" t="n">
        <f aca="false">IFERROR((K26+K27+K28+K29+K30)/K32,0)</f>
        <v>0.904670566249989</v>
      </c>
      <c r="L38" s="19" t="n">
        <f aca="false">IFERROR((L26+L27+L28+L29+L30)/L32,0)</f>
        <v>0.90075519589551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2"/>
    <col collapsed="false" customWidth="true" hidden="false" outlineLevel="0" max="2" min="2" style="1" width="12"/>
    <col collapsed="false" customWidth="true" hidden="false" outlineLevel="0" max="12" min="3" style="1" width="13"/>
  </cols>
  <sheetData>
    <row r="1" customFormat="false" ht="19.5" hidden="false" customHeight="true" outlineLevel="0" collapsed="false">
      <c r="A1" s="2" t="s">
        <v>244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true" outlineLevel="0" collapsed="false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true" outlineLevel="0" collapsed="false">
      <c r="A4" s="50" t="s">
        <v>95</v>
      </c>
      <c r="B4" s="50" t="s">
        <v>212</v>
      </c>
      <c r="C4" s="51" t="n">
        <v>2026</v>
      </c>
      <c r="D4" s="51" t="n">
        <v>2027</v>
      </c>
      <c r="E4" s="51" t="n">
        <v>2028</v>
      </c>
      <c r="F4" s="51" t="n">
        <v>2029</v>
      </c>
      <c r="G4" s="51" t="n">
        <v>2030</v>
      </c>
      <c r="H4" s="51" t="n">
        <v>2031</v>
      </c>
      <c r="I4" s="51" t="n">
        <v>2032</v>
      </c>
      <c r="J4" s="51" t="n">
        <v>2033</v>
      </c>
      <c r="K4" s="51" t="n">
        <v>2034</v>
      </c>
      <c r="L4" s="51" t="n">
        <v>2035</v>
      </c>
    </row>
    <row r="6" customFormat="false" ht="15" hidden="false" customHeight="true" outlineLevel="0" collapsed="false">
      <c r="A6" s="13" t="s">
        <v>246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customFormat="false" ht="15" hidden="false" customHeight="true" outlineLevel="0" collapsed="false">
      <c r="A7" s="53" t="s">
        <v>247</v>
      </c>
      <c r="B7" s="15" t="s">
        <v>248</v>
      </c>
      <c r="C7" s="7" t="n">
        <f aca="false">Assumptions!$F$11*Assumptions!$F$12</f>
        <v>600</v>
      </c>
      <c r="D7" s="7" t="n">
        <f aca="false">Assumptions!$F$11*Assumptions!$F$12</f>
        <v>600</v>
      </c>
      <c r="E7" s="7" t="n">
        <f aca="false">Assumptions!$F$11*Assumptions!$F$12</f>
        <v>600</v>
      </c>
      <c r="F7" s="7" t="n">
        <f aca="false">Assumptions!$F$11*Assumptions!$F$12</f>
        <v>600</v>
      </c>
      <c r="G7" s="7" t="n">
        <f aca="false">Assumptions!$F$11*Assumptions!$F$12</f>
        <v>600</v>
      </c>
      <c r="H7" s="7" t="n">
        <f aca="false">Assumptions!$F$11*Assumptions!$F$12</f>
        <v>600</v>
      </c>
      <c r="I7" s="7" t="n">
        <f aca="false">Assumptions!$F$11*Assumptions!$F$12</f>
        <v>600</v>
      </c>
      <c r="J7" s="7" t="n">
        <f aca="false">Assumptions!$F$11*Assumptions!$F$12</f>
        <v>600</v>
      </c>
      <c r="K7" s="7" t="n">
        <f aca="false">Assumptions!$F$11*Assumptions!$F$12</f>
        <v>600</v>
      </c>
      <c r="L7" s="7" t="n">
        <f aca="false">Assumptions!$F$11*Assumptions!$F$12</f>
        <v>600</v>
      </c>
    </row>
    <row r="8" customFormat="false" ht="15" hidden="false" customHeight="true" outlineLevel="0" collapsed="false">
      <c r="A8" s="53" t="s">
        <v>249</v>
      </c>
      <c r="B8" s="15" t="s">
        <v>248</v>
      </c>
      <c r="C8" s="7" t="n">
        <f aca="false">Assumptions!$F$9*Assumptions!$F$13</f>
        <v>293.6</v>
      </c>
      <c r="D8" s="7" t="n">
        <f aca="false">Assumptions!$F$9*Assumptions!$F$13</f>
        <v>293.6</v>
      </c>
      <c r="E8" s="7" t="n">
        <f aca="false">Assumptions!$F$9*Assumptions!$F$13</f>
        <v>293.6</v>
      </c>
      <c r="F8" s="7" t="n">
        <f aca="false">Assumptions!$F$9*Assumptions!$F$13</f>
        <v>293.6</v>
      </c>
      <c r="G8" s="7" t="n">
        <f aca="false">Assumptions!$F$9*Assumptions!$F$13</f>
        <v>293.6</v>
      </c>
      <c r="H8" s="7" t="n">
        <f aca="false">Assumptions!$F$9*Assumptions!$F$13</f>
        <v>293.6</v>
      </c>
      <c r="I8" s="7" t="n">
        <f aca="false">Assumptions!$F$9*Assumptions!$F$13</f>
        <v>293.6</v>
      </c>
      <c r="J8" s="7" t="n">
        <f aca="false">Assumptions!$F$9*Assumptions!$F$13</f>
        <v>293.6</v>
      </c>
      <c r="K8" s="7" t="n">
        <f aca="false">Assumptions!$F$9*Assumptions!$F$13</f>
        <v>293.6</v>
      </c>
      <c r="L8" s="7" t="n">
        <f aca="false">Assumptions!$F$9*Assumptions!$F$13</f>
        <v>293.6</v>
      </c>
    </row>
    <row r="9" customFormat="false" ht="15" hidden="false" customHeight="true" outlineLevel="0" collapsed="false">
      <c r="A9" s="53" t="s">
        <v>250</v>
      </c>
      <c r="B9" s="15" t="s">
        <v>248</v>
      </c>
      <c r="C9" s="20" t="n">
        <v>500</v>
      </c>
      <c r="D9" s="20" t="n">
        <v>500</v>
      </c>
      <c r="E9" s="20" t="n">
        <v>500</v>
      </c>
      <c r="F9" s="20" t="n">
        <v>500</v>
      </c>
      <c r="G9" s="20" t="n">
        <v>500</v>
      </c>
      <c r="H9" s="20" t="n">
        <v>500</v>
      </c>
      <c r="I9" s="20" t="n">
        <v>500</v>
      </c>
      <c r="J9" s="20" t="n">
        <v>500</v>
      </c>
      <c r="K9" s="20" t="n">
        <v>500</v>
      </c>
      <c r="L9" s="20" t="n">
        <v>500</v>
      </c>
    </row>
    <row r="10" customFormat="false" ht="15" hidden="false" customHeight="true" outlineLevel="0" collapsed="false">
      <c r="A10" s="4" t="s">
        <v>251</v>
      </c>
      <c r="B10" s="15" t="s">
        <v>248</v>
      </c>
      <c r="C10" s="38" t="n">
        <f aca="false">C7+C8+C9</f>
        <v>1393.6</v>
      </c>
      <c r="D10" s="38" t="n">
        <f aca="false">D7+D8+D9</f>
        <v>1393.6</v>
      </c>
      <c r="E10" s="38" t="n">
        <f aca="false">E7+E8+E9</f>
        <v>1393.6</v>
      </c>
      <c r="F10" s="38" t="n">
        <f aca="false">F7+F8+F9</f>
        <v>1393.6</v>
      </c>
      <c r="G10" s="38" t="n">
        <f aca="false">G7+G8+G9</f>
        <v>1393.6</v>
      </c>
      <c r="H10" s="38" t="n">
        <f aca="false">H7+H8+H9</f>
        <v>1393.6</v>
      </c>
      <c r="I10" s="38" t="n">
        <f aca="false">I7+I8+I9</f>
        <v>1393.6</v>
      </c>
      <c r="J10" s="38" t="n">
        <f aca="false">J7+J8+J9</f>
        <v>1393.6</v>
      </c>
      <c r="K10" s="38" t="n">
        <f aca="false">K7+K8+K9</f>
        <v>1393.6</v>
      </c>
      <c r="L10" s="38" t="n">
        <f aca="false">L7+L8+L9</f>
        <v>1393.6</v>
      </c>
    </row>
    <row r="12" customFormat="false" ht="15" hidden="false" customHeight="true" outlineLevel="0" collapsed="false">
      <c r="A12" s="55" t="s">
        <v>252</v>
      </c>
      <c r="B12" s="15" t="s">
        <v>226</v>
      </c>
      <c r="C12" s="38" t="n">
        <f aca="false">C10*Revenue!C7/1000000</f>
        <v>0</v>
      </c>
      <c r="D12" s="38" t="n">
        <f aca="false">D10*Revenue!D7/1000000</f>
        <v>0.0041808</v>
      </c>
      <c r="E12" s="38" t="n">
        <f aca="false">E10*Revenue!E7/1000000</f>
        <v>0.06968</v>
      </c>
      <c r="F12" s="38" t="n">
        <f aca="false">F10*Revenue!F7/1000000</f>
        <v>0.55744</v>
      </c>
      <c r="G12" s="38" t="n">
        <f aca="false">G10*Revenue!G7/1000000</f>
        <v>3.484</v>
      </c>
      <c r="H12" s="38" t="n">
        <f aca="false">H10*Revenue!H7/1000000</f>
        <v>11.1488</v>
      </c>
      <c r="I12" s="38" t="n">
        <f aca="false">I10*Revenue!I7/1000000</f>
        <v>25.0848</v>
      </c>
      <c r="J12" s="38" t="n">
        <f aca="false">J10*Revenue!J7/1000000</f>
        <v>48.776</v>
      </c>
      <c r="K12" s="38" t="n">
        <f aca="false">K10*Revenue!K7/1000000</f>
        <v>83.616</v>
      </c>
      <c r="L12" s="38" t="n">
        <f aca="false">L10*Revenue!L7/1000000</f>
        <v>125.424</v>
      </c>
    </row>
    <row r="14" customFormat="false" ht="15" hidden="false" customHeight="true" outlineLevel="0" collapsed="false">
      <c r="A14" s="13" t="s">
        <v>253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customFormat="false" ht="15" hidden="false" customHeight="true" outlineLevel="0" collapsed="false">
      <c r="A15" s="53" t="s">
        <v>254</v>
      </c>
      <c r="B15" s="15" t="s">
        <v>88</v>
      </c>
      <c r="C15" s="43" t="n">
        <v>6</v>
      </c>
      <c r="D15" s="43" t="n">
        <v>12</v>
      </c>
      <c r="E15" s="43" t="n">
        <v>22</v>
      </c>
      <c r="F15" s="43" t="n">
        <v>40</v>
      </c>
      <c r="G15" s="43" t="n">
        <v>70</v>
      </c>
      <c r="H15" s="43" t="n">
        <v>110</v>
      </c>
      <c r="I15" s="43" t="n">
        <v>160</v>
      </c>
      <c r="J15" s="43" t="n">
        <v>220</v>
      </c>
      <c r="K15" s="43" t="n">
        <v>280</v>
      </c>
      <c r="L15" s="43" t="n">
        <v>340</v>
      </c>
    </row>
    <row r="16" customFormat="false" ht="15" hidden="false" customHeight="true" outlineLevel="0" collapsed="false">
      <c r="A16" s="53" t="s">
        <v>255</v>
      </c>
      <c r="B16" s="15" t="s">
        <v>256</v>
      </c>
      <c r="C16" s="20" t="n">
        <v>200000</v>
      </c>
      <c r="D16" s="20" t="n">
        <v>200000</v>
      </c>
      <c r="E16" s="20" t="n">
        <v>200000</v>
      </c>
      <c r="F16" s="20" t="n">
        <v>200000</v>
      </c>
      <c r="G16" s="20" t="n">
        <v>200000</v>
      </c>
      <c r="H16" s="20" t="n">
        <v>200000</v>
      </c>
      <c r="I16" s="20" t="n">
        <v>200000</v>
      </c>
      <c r="J16" s="20" t="n">
        <v>200000</v>
      </c>
      <c r="K16" s="20" t="n">
        <v>200000</v>
      </c>
      <c r="L16" s="20" t="n">
        <v>200000</v>
      </c>
    </row>
    <row r="17" customFormat="false" ht="15" hidden="false" customHeight="true" outlineLevel="0" collapsed="false">
      <c r="A17" s="4" t="s">
        <v>257</v>
      </c>
      <c r="B17" s="15" t="s">
        <v>226</v>
      </c>
      <c r="C17" s="21" t="n">
        <f aca="false">C15*C16/1000000</f>
        <v>1.2</v>
      </c>
      <c r="D17" s="21" t="n">
        <f aca="false">D15*D16/1000000</f>
        <v>2.4</v>
      </c>
      <c r="E17" s="21" t="n">
        <f aca="false">E15*E16/1000000</f>
        <v>4.4</v>
      </c>
      <c r="F17" s="21" t="n">
        <f aca="false">F15*F16/1000000</f>
        <v>8</v>
      </c>
      <c r="G17" s="21" t="n">
        <f aca="false">G15*G16/1000000</f>
        <v>14</v>
      </c>
      <c r="H17" s="21" t="n">
        <f aca="false">H15*H16/1000000</f>
        <v>22</v>
      </c>
      <c r="I17" s="21" t="n">
        <f aca="false">I15*I16/1000000</f>
        <v>32</v>
      </c>
      <c r="J17" s="21" t="n">
        <f aca="false">J15*J16/1000000</f>
        <v>44</v>
      </c>
      <c r="K17" s="21" t="n">
        <f aca="false">K15*K16/1000000</f>
        <v>56</v>
      </c>
      <c r="L17" s="21" t="n">
        <f aca="false">L15*L16/1000000</f>
        <v>68</v>
      </c>
    </row>
    <row r="19" customFormat="false" ht="15" hidden="false" customHeight="true" outlineLevel="0" collapsed="false">
      <c r="A19" s="13" t="s">
        <v>258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customFormat="false" ht="15" hidden="false" customHeight="true" outlineLevel="0" collapsed="false">
      <c r="A20" s="53" t="s">
        <v>259</v>
      </c>
      <c r="B20" s="15" t="s">
        <v>226</v>
      </c>
      <c r="C20" s="20" t="n">
        <v>1.5</v>
      </c>
      <c r="D20" s="20" t="n">
        <v>3</v>
      </c>
      <c r="E20" s="20" t="n">
        <v>5</v>
      </c>
      <c r="F20" s="20" t="n">
        <v>8</v>
      </c>
      <c r="G20" s="20" t="n">
        <v>12</v>
      </c>
      <c r="H20" s="20" t="n">
        <v>15</v>
      </c>
      <c r="I20" s="20" t="n">
        <v>18</v>
      </c>
      <c r="J20" s="20" t="n">
        <v>22</v>
      </c>
      <c r="K20" s="20" t="n">
        <v>25</v>
      </c>
      <c r="L20" s="20" t="n">
        <v>28</v>
      </c>
    </row>
    <row r="21" customFormat="false" ht="15" hidden="false" customHeight="true" outlineLevel="0" collapsed="false">
      <c r="A21" s="53" t="s">
        <v>260</v>
      </c>
      <c r="B21" s="15" t="s">
        <v>226</v>
      </c>
      <c r="C21" s="21" t="n">
        <f aca="false">0.15*(C17+C20)</f>
        <v>0.405</v>
      </c>
      <c r="D21" s="21" t="n">
        <f aca="false">0.15*(D17+D20)</f>
        <v>0.81</v>
      </c>
      <c r="E21" s="21" t="n">
        <f aca="false">0.15*(E17+E20)</f>
        <v>1.41</v>
      </c>
      <c r="F21" s="21" t="n">
        <f aca="false">0.15*(F17+F20)</f>
        <v>2.4</v>
      </c>
      <c r="G21" s="21" t="n">
        <f aca="false">0.15*(G17+G20)</f>
        <v>3.9</v>
      </c>
      <c r="H21" s="21" t="n">
        <f aca="false">0.15*(H17+H20)</f>
        <v>5.55</v>
      </c>
      <c r="I21" s="21" t="n">
        <f aca="false">0.15*(I17+I20)</f>
        <v>7.5</v>
      </c>
      <c r="J21" s="21" t="n">
        <f aca="false">0.15*(J17+J20)</f>
        <v>9.9</v>
      </c>
      <c r="K21" s="21" t="n">
        <f aca="false">0.15*(K17+K20)</f>
        <v>12.15</v>
      </c>
      <c r="L21" s="21" t="n">
        <f aca="false">0.15*(L17+L20)</f>
        <v>14.4</v>
      </c>
    </row>
    <row r="23" customFormat="false" ht="15" hidden="false" customHeight="true" outlineLevel="0" collapsed="false">
      <c r="A23" s="55" t="s">
        <v>261</v>
      </c>
      <c r="B23" s="15" t="s">
        <v>226</v>
      </c>
      <c r="C23" s="38" t="n">
        <f aca="false">C17+C20+C21</f>
        <v>3.105</v>
      </c>
      <c r="D23" s="38" t="n">
        <f aca="false">D17+D20+D21</f>
        <v>6.21</v>
      </c>
      <c r="E23" s="38" t="n">
        <f aca="false">E17+E20+E21</f>
        <v>10.81</v>
      </c>
      <c r="F23" s="38" t="n">
        <f aca="false">F17+F20+F21</f>
        <v>18.4</v>
      </c>
      <c r="G23" s="38" t="n">
        <f aca="false">G17+G20+G21</f>
        <v>29.9</v>
      </c>
      <c r="H23" s="38" t="n">
        <f aca="false">H17+H20+H21</f>
        <v>42.55</v>
      </c>
      <c r="I23" s="38" t="n">
        <f aca="false">I17+I20+I21</f>
        <v>57.5</v>
      </c>
      <c r="J23" s="38" t="n">
        <f aca="false">J17+J20+J21</f>
        <v>75.9</v>
      </c>
      <c r="K23" s="38" t="n">
        <f aca="false">K17+K20+K21</f>
        <v>93.15</v>
      </c>
      <c r="L23" s="38" t="n">
        <f aca="false">L17+L20+L21</f>
        <v>110.4</v>
      </c>
    </row>
    <row r="25" customFormat="false" ht="15" hidden="false" customHeight="true" outlineLevel="0" collapsed="false">
      <c r="A25" s="13" t="s">
        <v>262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customFormat="false" ht="15" hidden="false" customHeight="true" outlineLevel="0" collapsed="false">
      <c r="A26" s="4" t="s">
        <v>263</v>
      </c>
      <c r="B26" s="15" t="s">
        <v>226</v>
      </c>
      <c r="C26" s="20" t="n">
        <v>1</v>
      </c>
      <c r="D26" s="20" t="n">
        <v>5</v>
      </c>
      <c r="E26" s="20" t="n">
        <v>20</v>
      </c>
      <c r="F26" s="20" t="n">
        <v>40</v>
      </c>
      <c r="G26" s="20" t="n">
        <v>60</v>
      </c>
      <c r="H26" s="20" t="n">
        <v>80</v>
      </c>
      <c r="I26" s="20" t="n">
        <v>70</v>
      </c>
      <c r="J26" s="20" t="n">
        <v>50</v>
      </c>
      <c r="K26" s="20" t="n">
        <v>40</v>
      </c>
      <c r="L26" s="20" t="n">
        <v>35</v>
      </c>
    </row>
    <row r="27" customFormat="false" ht="15" hidden="false" customHeight="true" outlineLevel="0" collapsed="false">
      <c r="A27" s="53" t="s">
        <v>264</v>
      </c>
      <c r="B27" s="15" t="s">
        <v>226</v>
      </c>
      <c r="C27" s="21" t="n">
        <f aca="false">C26</f>
        <v>1</v>
      </c>
      <c r="D27" s="21" t="n">
        <f aca="false">C27+D26</f>
        <v>6</v>
      </c>
      <c r="E27" s="21" t="n">
        <f aca="false">D27+E26</f>
        <v>26</v>
      </c>
      <c r="F27" s="21" t="n">
        <f aca="false">E27+F26</f>
        <v>66</v>
      </c>
      <c r="G27" s="21" t="n">
        <f aca="false">F27+G26</f>
        <v>126</v>
      </c>
      <c r="H27" s="21" t="n">
        <f aca="false">G27+H26</f>
        <v>206</v>
      </c>
      <c r="I27" s="21" t="n">
        <f aca="false">H27+I26</f>
        <v>276</v>
      </c>
      <c r="J27" s="21" t="n">
        <f aca="false">I27+J26</f>
        <v>326</v>
      </c>
      <c r="K27" s="21" t="n">
        <f aca="false">J27+K26</f>
        <v>366</v>
      </c>
      <c r="L27" s="21" t="n">
        <f aca="false">K27+L26</f>
        <v>401</v>
      </c>
    </row>
    <row r="28" customFormat="false" ht="15" hidden="false" customHeight="true" outlineLevel="0" collapsed="false">
      <c r="A28" s="53" t="s">
        <v>265</v>
      </c>
      <c r="B28" s="15" t="s">
        <v>226</v>
      </c>
      <c r="C28" s="21" t="n">
        <f aca="false">C27/10</f>
        <v>0.1</v>
      </c>
      <c r="D28" s="21" t="n">
        <f aca="false">D27/10</f>
        <v>0.6</v>
      </c>
      <c r="E28" s="21" t="n">
        <f aca="false">E27/10</f>
        <v>2.6</v>
      </c>
      <c r="F28" s="21" t="n">
        <f aca="false">F27/10</f>
        <v>6.6</v>
      </c>
      <c r="G28" s="21" t="n">
        <f aca="false">G27/10</f>
        <v>12.6</v>
      </c>
      <c r="H28" s="21" t="n">
        <f aca="false">H27/10</f>
        <v>20.6</v>
      </c>
      <c r="I28" s="21" t="n">
        <f aca="false">I27/10</f>
        <v>27.6</v>
      </c>
      <c r="J28" s="21" t="n">
        <f aca="false">J27/10</f>
        <v>32.6</v>
      </c>
      <c r="K28" s="21" t="n">
        <f aca="false">K27/10</f>
        <v>36.6</v>
      </c>
      <c r="L28" s="21" t="n">
        <f aca="false">L27/10</f>
        <v>40.1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4"/>
    <col collapsed="false" customWidth="true" hidden="false" outlineLevel="0" max="2" min="2" style="1" width="12"/>
    <col collapsed="false" customWidth="true" hidden="false" outlineLevel="0" max="12" min="3" style="1" width="13"/>
  </cols>
  <sheetData>
    <row r="1" customFormat="false" ht="19.5" hidden="false" customHeight="true" outlineLevel="0" collapsed="false">
      <c r="A1" s="2" t="s">
        <v>266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15" hidden="false" customHeight="true" outlineLevel="0" collapsed="false">
      <c r="A2" s="3" t="s">
        <v>267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true" outlineLevel="0" collapsed="false">
      <c r="A4" s="50" t="s">
        <v>268</v>
      </c>
      <c r="B4" s="50" t="s">
        <v>212</v>
      </c>
      <c r="C4" s="51" t="n">
        <v>2026</v>
      </c>
      <c r="D4" s="51" t="n">
        <v>2027</v>
      </c>
      <c r="E4" s="51" t="n">
        <v>2028</v>
      </c>
      <c r="F4" s="51" t="n">
        <v>2029</v>
      </c>
      <c r="G4" s="51" t="n">
        <v>2030</v>
      </c>
      <c r="H4" s="51" t="n">
        <v>2031</v>
      </c>
      <c r="I4" s="51" t="n">
        <v>2032</v>
      </c>
      <c r="J4" s="51" t="n">
        <v>2033</v>
      </c>
      <c r="K4" s="51" t="n">
        <v>2034</v>
      </c>
      <c r="L4" s="51" t="n">
        <v>2035</v>
      </c>
    </row>
    <row r="6" customFormat="false" ht="15" hidden="false" customHeight="true" outlineLevel="0" collapsed="false">
      <c r="A6" s="13" t="s">
        <v>269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customFormat="false" ht="15" hidden="false" customHeight="true" outlineLevel="0" collapsed="false">
      <c r="A7" s="53" t="s">
        <v>19</v>
      </c>
      <c r="B7" s="15" t="s">
        <v>226</v>
      </c>
      <c r="C7" s="7" t="n">
        <f aca="false">Revenue!C32</f>
        <v>0</v>
      </c>
      <c r="D7" s="7" t="n">
        <f aca="false">Revenue!D32</f>
        <v>0.3063525</v>
      </c>
      <c r="E7" s="7" t="n">
        <f aca="false">Revenue!E32</f>
        <v>6.45816875</v>
      </c>
      <c r="F7" s="7" t="n">
        <f aca="false">Revenue!F32</f>
        <v>8.5246175</v>
      </c>
      <c r="G7" s="7" t="n">
        <f aca="false">Revenue!G32</f>
        <v>26.06030234375</v>
      </c>
      <c r="H7" s="7" t="n">
        <f aca="false">Revenue!H32</f>
        <v>93.973815875</v>
      </c>
      <c r="I7" s="7" t="n">
        <f aca="false">Revenue!I32</f>
        <v>245.069790004688</v>
      </c>
      <c r="J7" s="7" t="n">
        <f aca="false">Revenue!J32</f>
        <v>477.72382125957</v>
      </c>
      <c r="K7" s="7" t="n">
        <f aca="false">Revenue!K32</f>
        <v>822.000878267227</v>
      </c>
      <c r="L7" s="7" t="n">
        <f aca="false">Revenue!L32</f>
        <v>1238.36088327088</v>
      </c>
    </row>
    <row r="8" customFormat="false" ht="15" hidden="false" customHeight="true" outlineLevel="0" collapsed="false">
      <c r="A8" s="53" t="s">
        <v>270</v>
      </c>
      <c r="B8" s="15" t="s">
        <v>226</v>
      </c>
      <c r="C8" s="7" t="n">
        <f aca="false">-OpEx_CapEx!C12</f>
        <v>-0</v>
      </c>
      <c r="D8" s="7" t="n">
        <f aca="false">-OpEx_CapEx!D12</f>
        <v>-0.0041808</v>
      </c>
      <c r="E8" s="7" t="n">
        <f aca="false">-OpEx_CapEx!E12</f>
        <v>-0.06968</v>
      </c>
      <c r="F8" s="7" t="n">
        <f aca="false">-OpEx_CapEx!F12</f>
        <v>-0.55744</v>
      </c>
      <c r="G8" s="7" t="n">
        <f aca="false">-OpEx_CapEx!G12</f>
        <v>-3.484</v>
      </c>
      <c r="H8" s="7" t="n">
        <f aca="false">-OpEx_CapEx!H12</f>
        <v>-11.1488</v>
      </c>
      <c r="I8" s="7" t="n">
        <f aca="false">-OpEx_CapEx!I12</f>
        <v>-25.0848</v>
      </c>
      <c r="J8" s="7" t="n">
        <f aca="false">-OpEx_CapEx!J12</f>
        <v>-48.776</v>
      </c>
      <c r="K8" s="7" t="n">
        <f aca="false">-OpEx_CapEx!K12</f>
        <v>-83.616</v>
      </c>
      <c r="L8" s="7" t="n">
        <f aca="false">-OpEx_CapEx!L12</f>
        <v>-125.424</v>
      </c>
    </row>
    <row r="9" customFormat="false" ht="15" hidden="false" customHeight="true" outlineLevel="0" collapsed="false">
      <c r="A9" s="4" t="s">
        <v>271</v>
      </c>
      <c r="B9" s="15" t="s">
        <v>226</v>
      </c>
      <c r="C9" s="21" t="n">
        <f aca="false">C7+C8</f>
        <v>0</v>
      </c>
      <c r="D9" s="21" t="n">
        <f aca="false">D7+D8</f>
        <v>0.3021717</v>
      </c>
      <c r="E9" s="21" t="n">
        <f aca="false">E7+E8</f>
        <v>6.38848875</v>
      </c>
      <c r="F9" s="21" t="n">
        <f aca="false">F7+F8</f>
        <v>7.9671775</v>
      </c>
      <c r="G9" s="21" t="n">
        <f aca="false">G7+G8</f>
        <v>22.57630234375</v>
      </c>
      <c r="H9" s="21" t="n">
        <f aca="false">H7+H8</f>
        <v>82.825015875</v>
      </c>
      <c r="I9" s="21" t="n">
        <f aca="false">I7+I8</f>
        <v>219.984990004688</v>
      </c>
      <c r="J9" s="21" t="n">
        <f aca="false">J7+J8</f>
        <v>428.94782125957</v>
      </c>
      <c r="K9" s="21" t="n">
        <f aca="false">K7+K8</f>
        <v>738.384878267227</v>
      </c>
      <c r="L9" s="21" t="n">
        <f aca="false">L7+L8</f>
        <v>1112.93688327088</v>
      </c>
    </row>
    <row r="10" customFormat="false" ht="15" hidden="false" customHeight="true" outlineLevel="0" collapsed="false">
      <c r="A10" s="39" t="s">
        <v>272</v>
      </c>
      <c r="B10" s="15" t="s">
        <v>60</v>
      </c>
      <c r="C10" s="19" t="n">
        <f aca="false">IFERROR(C9/C7,0)</f>
        <v>0</v>
      </c>
      <c r="D10" s="19" t="n">
        <f aca="false">IFERROR(D9/D7,0)</f>
        <v>0.986352975738732</v>
      </c>
      <c r="E10" s="19" t="n">
        <f aca="false">IFERROR(E9/E7,0)</f>
        <v>0.989210563753076</v>
      </c>
      <c r="F10" s="19" t="n">
        <f aca="false">IFERROR(F9/F7,0)</f>
        <v>0.934608209693866</v>
      </c>
      <c r="G10" s="19" t="n">
        <f aca="false">IFERROR(G9/G7,0)</f>
        <v>0.866310069850914</v>
      </c>
      <c r="H10" s="19" t="n">
        <f aca="false">IFERROR(H9/H7,0)</f>
        <v>0.88136269772391</v>
      </c>
      <c r="I10" s="19" t="n">
        <f aca="false">IFERROR(I9/I7,0)</f>
        <v>0.897642218571615</v>
      </c>
      <c r="J10" s="19" t="n">
        <f aca="false">IFERROR(J9/J7,0)</f>
        <v>0.897899167197908</v>
      </c>
      <c r="K10" s="19" t="n">
        <f aca="false">IFERROR(K9/K7,0)</f>
        <v>0.898277480948363</v>
      </c>
      <c r="L10" s="19" t="n">
        <f aca="false">IFERROR(L9/L7,0)</f>
        <v>0.898717731079556</v>
      </c>
    </row>
    <row r="11" customFormat="false" ht="15" hidden="false" customHeight="true" outlineLevel="0" collapsed="false">
      <c r="A11" s="53" t="s">
        <v>273</v>
      </c>
      <c r="B11" s="15" t="s">
        <v>226</v>
      </c>
      <c r="C11" s="7" t="n">
        <f aca="false">-OpEx_CapEx!C23</f>
        <v>-3.105</v>
      </c>
      <c r="D11" s="7" t="n">
        <f aca="false">-OpEx_CapEx!D23</f>
        <v>-6.21</v>
      </c>
      <c r="E11" s="7" t="n">
        <f aca="false">-OpEx_CapEx!E23</f>
        <v>-10.81</v>
      </c>
      <c r="F11" s="7" t="n">
        <f aca="false">-OpEx_CapEx!F23</f>
        <v>-18.4</v>
      </c>
      <c r="G11" s="7" t="n">
        <f aca="false">-OpEx_CapEx!G23</f>
        <v>-29.9</v>
      </c>
      <c r="H11" s="7" t="n">
        <f aca="false">-OpEx_CapEx!H23</f>
        <v>-42.55</v>
      </c>
      <c r="I11" s="7" t="n">
        <f aca="false">-OpEx_CapEx!I23</f>
        <v>-57.5</v>
      </c>
      <c r="J11" s="7" t="n">
        <f aca="false">-OpEx_CapEx!J23</f>
        <v>-75.9</v>
      </c>
      <c r="K11" s="7" t="n">
        <f aca="false">-OpEx_CapEx!K23</f>
        <v>-93.15</v>
      </c>
      <c r="L11" s="7" t="n">
        <f aca="false">-OpEx_CapEx!L23</f>
        <v>-110.4</v>
      </c>
    </row>
    <row r="12" customFormat="false" ht="15" hidden="false" customHeight="true" outlineLevel="0" collapsed="false">
      <c r="A12" s="55" t="s">
        <v>274</v>
      </c>
      <c r="B12" s="15" t="s">
        <v>226</v>
      </c>
      <c r="C12" s="38" t="n">
        <f aca="false">C9+C11</f>
        <v>-3.105</v>
      </c>
      <c r="D12" s="38" t="n">
        <f aca="false">D9+D11</f>
        <v>-5.9078283</v>
      </c>
      <c r="E12" s="38" t="n">
        <f aca="false">E9+E11</f>
        <v>-4.42151125</v>
      </c>
      <c r="F12" s="38" t="n">
        <f aca="false">F9+F11</f>
        <v>-10.4328225</v>
      </c>
      <c r="G12" s="38" t="n">
        <f aca="false">G9+G11</f>
        <v>-7.32369765625</v>
      </c>
      <c r="H12" s="38" t="n">
        <f aca="false">H9+H11</f>
        <v>40.275015875</v>
      </c>
      <c r="I12" s="38" t="n">
        <f aca="false">I9+I11</f>
        <v>162.484990004688</v>
      </c>
      <c r="J12" s="38" t="n">
        <f aca="false">J9+J11</f>
        <v>353.04782125957</v>
      </c>
      <c r="K12" s="38" t="n">
        <f aca="false">K9+K11</f>
        <v>645.234878267227</v>
      </c>
      <c r="L12" s="38" t="n">
        <f aca="false">L9+L11</f>
        <v>1002.53688327088</v>
      </c>
    </row>
    <row r="13" customFormat="false" ht="15" hidden="false" customHeight="true" outlineLevel="0" collapsed="false">
      <c r="A13" s="39" t="s">
        <v>275</v>
      </c>
      <c r="B13" s="15" t="s">
        <v>60</v>
      </c>
      <c r="C13" s="19" t="n">
        <f aca="false">IFERROR(C12/C7,0)</f>
        <v>0</v>
      </c>
      <c r="D13" s="19" t="n">
        <f aca="false">IFERROR(D12/D7,0)</f>
        <v>-19.2844135432223</v>
      </c>
      <c r="E13" s="19" t="n">
        <f aca="false">IFERROR(E12/E7,0)</f>
        <v>-0.684638544014509</v>
      </c>
      <c r="F13" s="19" t="n">
        <f aca="false">IFERROR(F12/F7,0)</f>
        <v>-1.22384640718484</v>
      </c>
      <c r="G13" s="19" t="n">
        <f aca="false">IFERROR(G12/G7,0)</f>
        <v>-0.281028882921093</v>
      </c>
      <c r="H13" s="19" t="n">
        <f aca="false">IFERROR(H12/H7,0)</f>
        <v>0.428576997751928</v>
      </c>
      <c r="I13" s="19" t="n">
        <f aca="false">IFERROR(I12/I7,0)</f>
        <v>0.663015176214007</v>
      </c>
      <c r="J13" s="19" t="n">
        <f aca="false">IFERROR(J12/J7,0)</f>
        <v>0.739020759585992</v>
      </c>
      <c r="K13" s="19" t="n">
        <f aca="false">IFERROR(K12/K7,0)</f>
        <v>0.784956434143207</v>
      </c>
      <c r="L13" s="19" t="n">
        <f aca="false">IFERROR(L12/L7,0)</f>
        <v>0.809567628317589</v>
      </c>
    </row>
    <row r="14" customFormat="false" ht="15" hidden="false" customHeight="true" outlineLevel="0" collapsed="false">
      <c r="A14" s="53" t="s">
        <v>276</v>
      </c>
      <c r="B14" s="15" t="s">
        <v>226</v>
      </c>
      <c r="C14" s="7" t="n">
        <f aca="false">-OpEx_CapEx!C28</f>
        <v>-0.1</v>
      </c>
      <c r="D14" s="7" t="n">
        <f aca="false">-OpEx_CapEx!D28</f>
        <v>-0.6</v>
      </c>
      <c r="E14" s="7" t="n">
        <f aca="false">-OpEx_CapEx!E28</f>
        <v>-2.6</v>
      </c>
      <c r="F14" s="7" t="n">
        <f aca="false">-OpEx_CapEx!F28</f>
        <v>-6.6</v>
      </c>
      <c r="G14" s="7" t="n">
        <f aca="false">-OpEx_CapEx!G28</f>
        <v>-12.6</v>
      </c>
      <c r="H14" s="7" t="n">
        <f aca="false">-OpEx_CapEx!H28</f>
        <v>-20.6</v>
      </c>
      <c r="I14" s="7" t="n">
        <f aca="false">-OpEx_CapEx!I28</f>
        <v>-27.6</v>
      </c>
      <c r="J14" s="7" t="n">
        <f aca="false">-OpEx_CapEx!J28</f>
        <v>-32.6</v>
      </c>
      <c r="K14" s="7" t="n">
        <f aca="false">-OpEx_CapEx!K28</f>
        <v>-36.6</v>
      </c>
      <c r="L14" s="7" t="n">
        <f aca="false">-OpEx_CapEx!L28</f>
        <v>-40.1</v>
      </c>
    </row>
    <row r="15" customFormat="false" ht="15" hidden="false" customHeight="true" outlineLevel="0" collapsed="false">
      <c r="A15" s="4" t="s">
        <v>277</v>
      </c>
      <c r="B15" s="15" t="s">
        <v>226</v>
      </c>
      <c r="C15" s="21" t="n">
        <f aca="false">C12+C14</f>
        <v>-3.205</v>
      </c>
      <c r="D15" s="21" t="n">
        <f aca="false">D12+D14</f>
        <v>-6.5078283</v>
      </c>
      <c r="E15" s="21" t="n">
        <f aca="false">E12+E14</f>
        <v>-7.02151125</v>
      </c>
      <c r="F15" s="21" t="n">
        <f aca="false">F12+F14</f>
        <v>-17.0328225</v>
      </c>
      <c r="G15" s="21" t="n">
        <f aca="false">G12+G14</f>
        <v>-19.92369765625</v>
      </c>
      <c r="H15" s="21" t="n">
        <f aca="false">H12+H14</f>
        <v>19.675015875</v>
      </c>
      <c r="I15" s="21" t="n">
        <f aca="false">I12+I14</f>
        <v>134.884990004688</v>
      </c>
      <c r="J15" s="21" t="n">
        <f aca="false">J12+J14</f>
        <v>320.44782125957</v>
      </c>
      <c r="K15" s="21" t="n">
        <f aca="false">K12+K14</f>
        <v>608.634878267227</v>
      </c>
      <c r="L15" s="21" t="n">
        <f aca="false">L12+L14</f>
        <v>962.436883270882</v>
      </c>
    </row>
    <row r="16" customFormat="false" ht="15" hidden="false" customHeight="true" outlineLevel="0" collapsed="false">
      <c r="A16" s="53" t="s">
        <v>278</v>
      </c>
      <c r="B16" s="15" t="s">
        <v>226</v>
      </c>
      <c r="C16" s="21" t="n">
        <f aca="false">-MAX(0,C15)*0.21</f>
        <v>-0</v>
      </c>
      <c r="D16" s="21" t="n">
        <f aca="false">-MAX(0,D15)*0.21</f>
        <v>-0</v>
      </c>
      <c r="E16" s="21" t="n">
        <f aca="false">-MAX(0,E15)*0.21</f>
        <v>-0</v>
      </c>
      <c r="F16" s="21" t="n">
        <f aca="false">-MAX(0,F15)*0.21</f>
        <v>-0</v>
      </c>
      <c r="G16" s="21" t="n">
        <f aca="false">-MAX(0,G15)*0.21</f>
        <v>-0</v>
      </c>
      <c r="H16" s="21" t="n">
        <f aca="false">-MAX(0,H15)*0.21</f>
        <v>-4.13175333375</v>
      </c>
      <c r="I16" s="21" t="n">
        <f aca="false">-MAX(0,I15)*0.21</f>
        <v>-28.3258479009844</v>
      </c>
      <c r="J16" s="21" t="n">
        <f aca="false">-MAX(0,J15)*0.21</f>
        <v>-67.2940424645098</v>
      </c>
      <c r="K16" s="21" t="n">
        <f aca="false">-MAX(0,K15)*0.21</f>
        <v>-127.813324436118</v>
      </c>
      <c r="L16" s="21" t="n">
        <f aca="false">-MAX(0,L15)*0.21</f>
        <v>-202.111745486885</v>
      </c>
    </row>
    <row r="17" customFormat="false" ht="15" hidden="false" customHeight="true" outlineLevel="0" collapsed="false">
      <c r="A17" s="55" t="s">
        <v>279</v>
      </c>
      <c r="B17" s="15" t="s">
        <v>226</v>
      </c>
      <c r="C17" s="38" t="n">
        <f aca="false">C15+C16</f>
        <v>-3.205</v>
      </c>
      <c r="D17" s="38" t="n">
        <f aca="false">D15+D16</f>
        <v>-6.5078283</v>
      </c>
      <c r="E17" s="38" t="n">
        <f aca="false">E15+E16</f>
        <v>-7.02151125</v>
      </c>
      <c r="F17" s="38" t="n">
        <f aca="false">F15+F16</f>
        <v>-17.0328225</v>
      </c>
      <c r="G17" s="38" t="n">
        <f aca="false">G15+G16</f>
        <v>-19.92369765625</v>
      </c>
      <c r="H17" s="38" t="n">
        <f aca="false">H15+H16</f>
        <v>15.54326254125</v>
      </c>
      <c r="I17" s="38" t="n">
        <f aca="false">I15+I16</f>
        <v>106.559142103703</v>
      </c>
      <c r="J17" s="38" t="n">
        <f aca="false">J15+J16</f>
        <v>253.153778795061</v>
      </c>
      <c r="K17" s="38" t="n">
        <f aca="false">K15+K16</f>
        <v>480.821553831109</v>
      </c>
      <c r="L17" s="38" t="n">
        <f aca="false">L15+L16</f>
        <v>760.325137783997</v>
      </c>
    </row>
    <row r="19" customFormat="false" ht="15" hidden="false" customHeight="true" outlineLevel="0" collapsed="false">
      <c r="A19" s="13" t="s">
        <v>280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customFormat="false" ht="15" hidden="false" customHeight="true" outlineLevel="0" collapsed="false">
      <c r="A20" s="53" t="s">
        <v>281</v>
      </c>
      <c r="B20" s="15" t="s">
        <v>226</v>
      </c>
      <c r="C20" s="21" t="n">
        <f aca="false">C15*(1-0.21*IF(C15&gt;0,1,0))</f>
        <v>-3.205</v>
      </c>
      <c r="D20" s="21" t="n">
        <f aca="false">D15*(1-0.21*IF(D15&gt;0,1,0))</f>
        <v>-6.5078283</v>
      </c>
      <c r="E20" s="21" t="n">
        <f aca="false">E15*(1-0.21*IF(E15&gt;0,1,0))</f>
        <v>-7.02151125</v>
      </c>
      <c r="F20" s="21" t="n">
        <f aca="false">F15*(1-0.21*IF(F15&gt;0,1,0))</f>
        <v>-17.0328225</v>
      </c>
      <c r="G20" s="21" t="n">
        <f aca="false">G15*(1-0.21*IF(G15&gt;0,1,0))</f>
        <v>-19.92369765625</v>
      </c>
      <c r="H20" s="21" t="n">
        <f aca="false">H15*(1-0.21*IF(H15&gt;0,1,0))</f>
        <v>15.54326254125</v>
      </c>
      <c r="I20" s="21" t="n">
        <f aca="false">I15*(1-0.21*IF(I15&gt;0,1,0))</f>
        <v>106.559142103703</v>
      </c>
      <c r="J20" s="21" t="n">
        <f aca="false">J15*(1-0.21*IF(J15&gt;0,1,0))</f>
        <v>253.153778795061</v>
      </c>
      <c r="K20" s="21" t="n">
        <f aca="false">K15*(1-0.21*IF(K15&gt;0,1,0))</f>
        <v>480.821553831109</v>
      </c>
      <c r="L20" s="21" t="n">
        <f aca="false">L15*(1-0.21*IF(L15&gt;0,1,0))</f>
        <v>760.325137783997</v>
      </c>
    </row>
    <row r="21" customFormat="false" ht="15" hidden="false" customHeight="true" outlineLevel="0" collapsed="false">
      <c r="A21" s="53" t="s">
        <v>282</v>
      </c>
      <c r="B21" s="15" t="s">
        <v>226</v>
      </c>
      <c r="C21" s="7" t="n">
        <f aca="false">OpEx_CapEx!C28</f>
        <v>0.1</v>
      </c>
      <c r="D21" s="7" t="n">
        <f aca="false">OpEx_CapEx!D28</f>
        <v>0.6</v>
      </c>
      <c r="E21" s="7" t="n">
        <f aca="false">OpEx_CapEx!E28</f>
        <v>2.6</v>
      </c>
      <c r="F21" s="7" t="n">
        <f aca="false">OpEx_CapEx!F28</f>
        <v>6.6</v>
      </c>
      <c r="G21" s="7" t="n">
        <f aca="false">OpEx_CapEx!G28</f>
        <v>12.6</v>
      </c>
      <c r="H21" s="7" t="n">
        <f aca="false">OpEx_CapEx!H28</f>
        <v>20.6</v>
      </c>
      <c r="I21" s="7" t="n">
        <f aca="false">OpEx_CapEx!I28</f>
        <v>27.6</v>
      </c>
      <c r="J21" s="7" t="n">
        <f aca="false">OpEx_CapEx!J28</f>
        <v>32.6</v>
      </c>
      <c r="K21" s="7" t="n">
        <f aca="false">OpEx_CapEx!K28</f>
        <v>36.6</v>
      </c>
      <c r="L21" s="7" t="n">
        <f aca="false">OpEx_CapEx!L28</f>
        <v>40.1</v>
      </c>
    </row>
    <row r="22" customFormat="false" ht="15" hidden="false" customHeight="true" outlineLevel="0" collapsed="false">
      <c r="A22" s="53" t="s">
        <v>283</v>
      </c>
      <c r="B22" s="15" t="s">
        <v>226</v>
      </c>
      <c r="C22" s="7" t="n">
        <f aca="false">-OpEx_CapEx!C26</f>
        <v>-1</v>
      </c>
      <c r="D22" s="7" t="n">
        <f aca="false">-OpEx_CapEx!D26</f>
        <v>-5</v>
      </c>
      <c r="E22" s="7" t="n">
        <f aca="false">-OpEx_CapEx!E26</f>
        <v>-20</v>
      </c>
      <c r="F22" s="7" t="n">
        <f aca="false">-OpEx_CapEx!F26</f>
        <v>-40</v>
      </c>
      <c r="G22" s="7" t="n">
        <f aca="false">-OpEx_CapEx!G26</f>
        <v>-60</v>
      </c>
      <c r="H22" s="7" t="n">
        <f aca="false">-OpEx_CapEx!H26</f>
        <v>-80</v>
      </c>
      <c r="I22" s="7" t="n">
        <f aca="false">-OpEx_CapEx!I26</f>
        <v>-70</v>
      </c>
      <c r="J22" s="7" t="n">
        <f aca="false">-OpEx_CapEx!J26</f>
        <v>-50</v>
      </c>
      <c r="K22" s="7" t="n">
        <f aca="false">-OpEx_CapEx!K26</f>
        <v>-40</v>
      </c>
      <c r="L22" s="7" t="n">
        <f aca="false">-OpEx_CapEx!L26</f>
        <v>-35</v>
      </c>
    </row>
    <row r="23" customFormat="false" ht="15" hidden="false" customHeight="true" outlineLevel="0" collapsed="false">
      <c r="A23" s="53" t="s">
        <v>284</v>
      </c>
      <c r="B23" s="15" t="s">
        <v>226</v>
      </c>
      <c r="C23" s="21" t="n">
        <f aca="false">-0.1*C7</f>
        <v>-0</v>
      </c>
      <c r="D23" s="21" t="n">
        <f aca="false">-0.1*(D7-C7)</f>
        <v>-0.03063525</v>
      </c>
      <c r="E23" s="21" t="n">
        <f aca="false">-0.1*(E7-D7)</f>
        <v>-0.615181625</v>
      </c>
      <c r="F23" s="21" t="n">
        <f aca="false">-0.1*(F7-E7)</f>
        <v>-0.206644875</v>
      </c>
      <c r="G23" s="21" t="n">
        <f aca="false">-0.1*(G7-F7)</f>
        <v>-1.753568484375</v>
      </c>
      <c r="H23" s="21" t="n">
        <f aca="false">-0.1*(H7-G7)</f>
        <v>-6.791351353125</v>
      </c>
      <c r="I23" s="21" t="n">
        <f aca="false">-0.1*(I7-H7)</f>
        <v>-15.1095974129687</v>
      </c>
      <c r="J23" s="21" t="n">
        <f aca="false">-0.1*(J7-I7)</f>
        <v>-23.2654031254883</v>
      </c>
      <c r="K23" s="21" t="n">
        <f aca="false">-0.1*(K7-J7)</f>
        <v>-34.4277057007656</v>
      </c>
      <c r="L23" s="21" t="n">
        <f aca="false">-0.1*(L7-K7)</f>
        <v>-41.6360005003655</v>
      </c>
    </row>
    <row r="24" customFormat="false" ht="15" hidden="false" customHeight="true" outlineLevel="0" collapsed="false">
      <c r="A24" s="55" t="s">
        <v>285</v>
      </c>
      <c r="B24" s="15" t="s">
        <v>226</v>
      </c>
      <c r="C24" s="38" t="n">
        <f aca="false">C20+C21+C22+C23</f>
        <v>-4.105</v>
      </c>
      <c r="D24" s="38" t="n">
        <f aca="false">D20+D21+D22+D23</f>
        <v>-10.93846355</v>
      </c>
      <c r="E24" s="38" t="n">
        <f aca="false">E20+E21+E22+E23</f>
        <v>-25.036692875</v>
      </c>
      <c r="F24" s="38" t="n">
        <f aca="false">F20+F21+F22+F23</f>
        <v>-50.639467375</v>
      </c>
      <c r="G24" s="38" t="n">
        <f aca="false">G20+G21+G22+G23</f>
        <v>-69.077266140625</v>
      </c>
      <c r="H24" s="38" t="n">
        <f aca="false">H20+H21+H22+H23</f>
        <v>-50.648088811875</v>
      </c>
      <c r="I24" s="38" t="n">
        <f aca="false">I20+I21+I22+I23</f>
        <v>49.0495446907344</v>
      </c>
      <c r="J24" s="38" t="n">
        <f aca="false">J20+J21+J22+J23</f>
        <v>212.488375669572</v>
      </c>
      <c r="K24" s="38" t="n">
        <f aca="false">K20+K21+K22+K23</f>
        <v>442.993848130344</v>
      </c>
      <c r="L24" s="38" t="n">
        <f aca="false">L20+L21+L22+L23</f>
        <v>723.789137283631</v>
      </c>
    </row>
  </sheetData>
  <mergeCells count="2">
    <mergeCell ref="A1:L1"/>
    <mergeCell ref="A2:L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8"/>
    <col collapsed="false" customWidth="true" hidden="false" outlineLevel="0" max="11" min="2" style="1" width="14"/>
  </cols>
  <sheetData>
    <row r="1" customFormat="false" ht="19.5" hidden="false" customHeight="true" outlineLevel="0" collapsed="false">
      <c r="A1" s="2" t="s">
        <v>286</v>
      </c>
      <c r="B1" s="2"/>
      <c r="C1" s="2"/>
      <c r="D1" s="2"/>
      <c r="E1" s="2"/>
      <c r="F1" s="2"/>
      <c r="G1" s="2"/>
    </row>
    <row r="2" customFormat="false" ht="15" hidden="false" customHeight="true" outlineLevel="0" collapsed="false">
      <c r="A2" s="3" t="s">
        <v>287</v>
      </c>
      <c r="B2" s="3"/>
      <c r="C2" s="3"/>
      <c r="D2" s="3"/>
      <c r="E2" s="3"/>
      <c r="F2" s="3"/>
      <c r="G2" s="3"/>
    </row>
    <row r="5" customFormat="false" ht="15" hidden="false" customHeight="true" outlineLevel="0" collapsed="false">
      <c r="A5" s="12" t="s">
        <v>30</v>
      </c>
      <c r="B5" s="12" t="s">
        <v>288</v>
      </c>
      <c r="C5" s="12" t="s">
        <v>289</v>
      </c>
      <c r="D5" s="12" t="s">
        <v>290</v>
      </c>
      <c r="E5" s="12" t="s">
        <v>291</v>
      </c>
      <c r="F5" s="12" t="s">
        <v>292</v>
      </c>
      <c r="G5" s="12" t="s">
        <v>293</v>
      </c>
    </row>
    <row r="7" customFormat="false" ht="15" hidden="false" customHeight="true" outlineLevel="0" collapsed="false">
      <c r="A7" s="4" t="s">
        <v>35</v>
      </c>
      <c r="B7" s="21" t="n">
        <f aca="false">Revenue!G32</f>
        <v>26.06030234375</v>
      </c>
      <c r="C7" s="7" t="n">
        <f aca="false">B44</f>
        <v>2.937097502</v>
      </c>
      <c r="D7" s="7" t="n">
        <f aca="false">B45</f>
        <v>26.06030234375</v>
      </c>
      <c r="E7" s="7" t="n">
        <f aca="false">B46</f>
        <v>142.036057728</v>
      </c>
      <c r="F7" s="7" t="n">
        <f aca="false">B47</f>
        <v>42.318491968075</v>
      </c>
    </row>
    <row r="8" customFormat="false" ht="15" hidden="false" customHeight="true" outlineLevel="0" collapsed="false">
      <c r="A8" s="4" t="s">
        <v>36</v>
      </c>
      <c r="B8" s="21" t="n">
        <f aca="false">Revenue!L32</f>
        <v>1238.36088327088</v>
      </c>
      <c r="C8" s="7" t="n">
        <f aca="false">D44</f>
        <v>169.049969784835</v>
      </c>
      <c r="D8" s="7" t="n">
        <f aca="false">D45</f>
        <v>1238.36088327088</v>
      </c>
      <c r="E8" s="7" t="n">
        <f aca="false">D46</f>
        <v>6696.3205258908</v>
      </c>
      <c r="F8" s="7" t="n">
        <f aca="false">D47</f>
        <v>2009.15953774905</v>
      </c>
    </row>
    <row r="9" customFormat="false" ht="15" hidden="false" customHeight="true" outlineLevel="0" collapsed="false">
      <c r="A9" s="4" t="s">
        <v>37</v>
      </c>
      <c r="B9" s="21" t="n">
        <f aca="false">PnL_CF!L12</f>
        <v>1002.53688327088</v>
      </c>
      <c r="C9" s="7" t="n">
        <f aca="false">E44</f>
        <v>14.6419697848349</v>
      </c>
      <c r="D9" s="7" t="n">
        <f aca="false">E45</f>
        <v>1002.53688327088</v>
      </c>
      <c r="E9" s="7" t="n">
        <f aca="false">E46</f>
        <v>6288.8655258908</v>
      </c>
      <c r="F9" s="7" t="n">
        <f aca="false">E47</f>
        <v>1763.43413774905</v>
      </c>
    </row>
    <row r="10" customFormat="false" ht="15" hidden="false" customHeight="true" outlineLevel="0" collapsed="false">
      <c r="A10" s="4" t="s">
        <v>294</v>
      </c>
      <c r="B10" s="21" t="n">
        <f aca="false">B30</f>
        <v>467.205734214151</v>
      </c>
      <c r="C10" s="7" t="n">
        <f aca="false">F44</f>
        <v>-133.762737469998</v>
      </c>
      <c r="D10" s="7" t="n">
        <f aca="false">F45</f>
        <v>467.205734214151</v>
      </c>
      <c r="E10" s="7" t="n">
        <f aca="false">F46</f>
        <v>6886.03021494279</v>
      </c>
      <c r="F10" s="7" t="n">
        <f aca="false">F47</f>
        <v>1570.68008885463</v>
      </c>
    </row>
    <row r="11" customFormat="false" ht="15" hidden="false" customHeight="true" outlineLevel="0" collapsed="false">
      <c r="A11" s="4" t="s">
        <v>295</v>
      </c>
      <c r="B11" s="27" t="n">
        <f aca="false">B30/Revenue!G32</f>
        <v>17.9278708301786</v>
      </c>
      <c r="C11" s="8" t="n">
        <f aca="false">G44</f>
        <v>-45.5424913129077</v>
      </c>
      <c r="D11" s="8" t="n">
        <f aca="false">G45</f>
        <v>17.9278708301786</v>
      </c>
      <c r="E11" s="8" t="n">
        <f aca="false">G46</f>
        <v>48.4808598963623</v>
      </c>
      <c r="F11" s="8" t="n">
        <f aca="false">G47</f>
        <v>37.1156914107325</v>
      </c>
    </row>
    <row r="14" customFormat="false" ht="15" hidden="false" customHeight="true" outlineLevel="0" collapsed="false">
      <c r="A14" s="5" t="s">
        <v>296</v>
      </c>
      <c r="B14" s="5"/>
      <c r="C14" s="5"/>
      <c r="D14" s="5"/>
      <c r="E14" s="5"/>
      <c r="F14" s="5"/>
      <c r="G14" s="5"/>
    </row>
    <row r="15" customFormat="false" ht="15" hidden="false" customHeight="true" outlineLevel="0" collapsed="false">
      <c r="A15" s="1" t="s">
        <v>106</v>
      </c>
      <c r="B15" s="9" t="n">
        <f aca="false">Assumptions!$F$58</f>
        <v>0.25</v>
      </c>
    </row>
    <row r="16" customFormat="false" ht="15" hidden="false" customHeight="true" outlineLevel="0" collapsed="false">
      <c r="A16" s="1" t="s">
        <v>297</v>
      </c>
      <c r="B16" s="9" t="n">
        <f aca="false">Assumptions!$F$59</f>
        <v>0.03</v>
      </c>
    </row>
    <row r="17" customFormat="false" ht="15" hidden="false" customHeight="true" outlineLevel="0" collapsed="false">
      <c r="A17" s="1" t="s">
        <v>298</v>
      </c>
      <c r="B17" s="56" t="n">
        <v>2035</v>
      </c>
    </row>
    <row r="18" customFormat="false" ht="15" hidden="false" customHeight="true" outlineLevel="0" collapsed="false">
      <c r="A18" s="1" t="s">
        <v>299</v>
      </c>
      <c r="B18" s="7" t="n">
        <f aca="false">PnL_CF!L24</f>
        <v>723.789137283631</v>
      </c>
    </row>
    <row r="19" customFormat="false" ht="15" hidden="false" customHeight="true" outlineLevel="0" collapsed="false">
      <c r="A19" s="1" t="s">
        <v>300</v>
      </c>
      <c r="B19" s="21" t="n">
        <f aca="false">B18*(1+B16)/(B15-B16)</f>
        <v>3388.649142737</v>
      </c>
    </row>
    <row r="20" customFormat="false" ht="15" hidden="false" customHeight="true" outlineLevel="0" collapsed="false">
      <c r="A20" s="15" t="s">
        <v>301</v>
      </c>
    </row>
    <row r="22" customFormat="false" ht="15" hidden="false" customHeight="true" outlineLevel="0" collapsed="false">
      <c r="A22" s="57" t="s">
        <v>95</v>
      </c>
      <c r="B22" s="57" t="s">
        <v>302</v>
      </c>
      <c r="C22" s="57" t="s">
        <v>303</v>
      </c>
      <c r="D22" s="57" t="s">
        <v>304</v>
      </c>
      <c r="E22" s="57" t="s">
        <v>305</v>
      </c>
      <c r="F22" s="57" t="s">
        <v>306</v>
      </c>
      <c r="G22" s="57" t="s">
        <v>307</v>
      </c>
      <c r="H22" s="57" t="s">
        <v>308</v>
      </c>
      <c r="I22" s="57" t="s">
        <v>309</v>
      </c>
      <c r="J22" s="57" t="s">
        <v>310</v>
      </c>
      <c r="K22" s="57" t="s">
        <v>311</v>
      </c>
    </row>
    <row r="23" customFormat="false" ht="15" hidden="false" customHeight="true" outlineLevel="0" collapsed="false">
      <c r="A23" s="1" t="s">
        <v>312</v>
      </c>
      <c r="B23" s="24" t="n">
        <v>1</v>
      </c>
      <c r="C23" s="24" t="n">
        <v>2</v>
      </c>
      <c r="D23" s="24" t="n">
        <v>3</v>
      </c>
      <c r="E23" s="24" t="n">
        <v>4</v>
      </c>
      <c r="F23" s="24" t="n">
        <v>5</v>
      </c>
      <c r="G23" s="24" t="n">
        <v>6</v>
      </c>
      <c r="H23" s="24" t="n">
        <v>7</v>
      </c>
      <c r="I23" s="24" t="n">
        <v>8</v>
      </c>
      <c r="J23" s="24" t="n">
        <v>9</v>
      </c>
      <c r="K23" s="24" t="n">
        <v>10</v>
      </c>
    </row>
    <row r="24" customFormat="false" ht="15" hidden="false" customHeight="true" outlineLevel="0" collapsed="false">
      <c r="A24" s="1" t="s">
        <v>313</v>
      </c>
      <c r="B24" s="7" t="n">
        <f aca="false">PnL_CF!C24</f>
        <v>-4.105</v>
      </c>
      <c r="C24" s="7" t="n">
        <f aca="false">PnL_CF!D24</f>
        <v>-10.93846355</v>
      </c>
      <c r="D24" s="7" t="n">
        <f aca="false">PnL_CF!E24</f>
        <v>-25.036692875</v>
      </c>
      <c r="E24" s="7" t="n">
        <f aca="false">PnL_CF!F24</f>
        <v>-50.639467375</v>
      </c>
      <c r="F24" s="7" t="n">
        <f aca="false">PnL_CF!G24</f>
        <v>-69.077266140625</v>
      </c>
      <c r="G24" s="7" t="n">
        <f aca="false">PnL_CF!H24</f>
        <v>-50.648088811875</v>
      </c>
      <c r="H24" s="7" t="n">
        <f aca="false">PnL_CF!I24</f>
        <v>49.0495446907344</v>
      </c>
      <c r="I24" s="7" t="n">
        <f aca="false">PnL_CF!J24</f>
        <v>212.488375669572</v>
      </c>
      <c r="J24" s="7" t="n">
        <f aca="false">PnL_CF!K24</f>
        <v>442.993848130344</v>
      </c>
      <c r="K24" s="7" t="n">
        <f aca="false">PnL_CF!L24</f>
        <v>723.789137283631</v>
      </c>
    </row>
    <row r="25" customFormat="false" ht="15" hidden="false" customHeight="true" outlineLevel="0" collapsed="false">
      <c r="A25" s="1" t="s">
        <v>314</v>
      </c>
      <c r="B25" s="58" t="n">
        <f aca="false">1/(1+$B$15)^B23</f>
        <v>0.8</v>
      </c>
      <c r="C25" s="58" t="n">
        <f aca="false">1/(1+$B$15)^C23</f>
        <v>0.64</v>
      </c>
      <c r="D25" s="58" t="n">
        <f aca="false">1/(1+$B$15)^D23</f>
        <v>0.512</v>
      </c>
      <c r="E25" s="58" t="n">
        <f aca="false">1/(1+$B$15)^E23</f>
        <v>0.4096</v>
      </c>
      <c r="F25" s="58" t="n">
        <f aca="false">1/(1+$B$15)^F23</f>
        <v>0.32768</v>
      </c>
      <c r="G25" s="58" t="n">
        <f aca="false">1/(1+$B$15)^G23</f>
        <v>0.262144</v>
      </c>
      <c r="H25" s="58" t="n">
        <f aca="false">1/(1+$B$15)^H23</f>
        <v>0.2097152</v>
      </c>
      <c r="I25" s="58" t="n">
        <f aca="false">1/(1+$B$15)^I23</f>
        <v>0.16777216</v>
      </c>
      <c r="J25" s="58" t="n">
        <f aca="false">1/(1+$B$15)^J23</f>
        <v>0.134217728</v>
      </c>
      <c r="K25" s="58" t="n">
        <f aca="false">1/(1+$B$15)^K23</f>
        <v>0.1073741824</v>
      </c>
    </row>
    <row r="26" customFormat="false" ht="15" hidden="false" customHeight="true" outlineLevel="0" collapsed="false">
      <c r="A26" s="1" t="s">
        <v>315</v>
      </c>
      <c r="B26" s="21" t="n">
        <f aca="false">B24*B25</f>
        <v>-3.284</v>
      </c>
      <c r="C26" s="21" t="n">
        <f aca="false">C24*C25</f>
        <v>-7.000616672</v>
      </c>
      <c r="D26" s="21" t="n">
        <f aca="false">D24*D25</f>
        <v>-12.818786752</v>
      </c>
      <c r="E26" s="21" t="n">
        <f aca="false">E24*E25</f>
        <v>-20.7419258368</v>
      </c>
      <c r="F26" s="21" t="n">
        <f aca="false">F24*F25</f>
        <v>-22.63523856896</v>
      </c>
      <c r="G26" s="21" t="n">
        <f aca="false">G24*G25</f>
        <v>-13.2770925935002</v>
      </c>
      <c r="H26" s="21" t="n">
        <f aca="false">H24*H25</f>
        <v>10.2864350747263</v>
      </c>
      <c r="I26" s="21" t="n">
        <f aca="false">I24*I25</f>
        <v>35.6496337609756</v>
      </c>
      <c r="J26" s="21" t="n">
        <f aca="false">J24*J25</f>
        <v>59.4576278140318</v>
      </c>
      <c r="K26" s="21" t="n">
        <f aca="false">K24*K25</f>
        <v>77.7162668458313</v>
      </c>
    </row>
    <row r="28" customFormat="false" ht="15" hidden="false" customHeight="true" outlineLevel="0" collapsed="false">
      <c r="A28" s="1" t="s">
        <v>316</v>
      </c>
      <c r="B28" s="21" t="n">
        <f aca="false">SUM(B26:K26)</f>
        <v>103.352303072305</v>
      </c>
    </row>
    <row r="29" customFormat="false" ht="15" hidden="false" customHeight="true" outlineLevel="0" collapsed="false">
      <c r="A29" s="1" t="s">
        <v>317</v>
      </c>
      <c r="B29" s="21" t="n">
        <f aca="false">B19*K25</f>
        <v>363.853431141846</v>
      </c>
    </row>
    <row r="30" customFormat="false" ht="15" hidden="false" customHeight="true" outlineLevel="0" collapsed="false">
      <c r="A30" s="55" t="s">
        <v>318</v>
      </c>
      <c r="B30" s="59" t="n">
        <f aca="false">B28+B29</f>
        <v>467.205734214151</v>
      </c>
    </row>
    <row r="32" customFormat="false" ht="15" hidden="false" customHeight="true" outlineLevel="0" collapsed="false">
      <c r="A32" s="5" t="s">
        <v>319</v>
      </c>
      <c r="B32" s="5"/>
      <c r="C32" s="5"/>
      <c r="D32" s="5"/>
      <c r="E32" s="5"/>
      <c r="F32" s="5"/>
      <c r="G32" s="5"/>
    </row>
    <row r="33" customFormat="false" ht="15" hidden="false" customHeight="true" outlineLevel="0" collapsed="false">
      <c r="A33" s="1" t="s">
        <v>320</v>
      </c>
      <c r="B33" s="7" t="n">
        <f aca="false">PnL_CF!L12</f>
        <v>1002.53688327088</v>
      </c>
    </row>
    <row r="34" customFormat="false" ht="15" hidden="false" customHeight="true" outlineLevel="0" collapsed="false">
      <c r="A34" s="1" t="s">
        <v>321</v>
      </c>
      <c r="B34" s="8" t="n">
        <f aca="false">Assumptions!$F$60</f>
        <v>12</v>
      </c>
    </row>
    <row r="35" customFormat="false" ht="15" hidden="false" customHeight="true" outlineLevel="0" collapsed="false">
      <c r="A35" s="1" t="s">
        <v>322</v>
      </c>
      <c r="B35" s="21" t="n">
        <f aca="false">B33*B34</f>
        <v>12030.4425992506</v>
      </c>
    </row>
    <row r="36" customFormat="false" ht="15" hidden="false" customHeight="true" outlineLevel="0" collapsed="false">
      <c r="A36" s="1" t="s">
        <v>323</v>
      </c>
      <c r="B36" s="21" t="n">
        <f aca="false">B35*K25</f>
        <v>1291.75893800466</v>
      </c>
    </row>
    <row r="37" customFormat="false" ht="15" hidden="false" customHeight="true" outlineLevel="0" collapsed="false">
      <c r="A37" s="55" t="s">
        <v>324</v>
      </c>
      <c r="B37" s="59" t="n">
        <f aca="false">B28+B36</f>
        <v>1395.11124107697</v>
      </c>
    </row>
    <row r="39" customFormat="false" ht="15" hidden="false" customHeight="true" outlineLevel="0" collapsed="false">
      <c r="A39" s="5" t="s">
        <v>325</v>
      </c>
      <c r="B39" s="5"/>
      <c r="C39" s="5"/>
      <c r="D39" s="5"/>
      <c r="E39" s="5"/>
      <c r="F39" s="5"/>
      <c r="G39" s="5"/>
    </row>
    <row r="40" customFormat="false" ht="27.75" hidden="false" customHeight="true" outlineLevel="0" collapsed="false">
      <c r="A40" s="49" t="s">
        <v>326</v>
      </c>
      <c r="B40" s="49"/>
      <c r="C40" s="49"/>
      <c r="D40" s="49"/>
      <c r="E40" s="49"/>
      <c r="F40" s="49"/>
      <c r="G40" s="49"/>
    </row>
    <row r="42" customFormat="false" ht="15" hidden="false" customHeight="true" outlineLevel="0" collapsed="false">
      <c r="A42" s="5" t="s">
        <v>327</v>
      </c>
      <c r="B42" s="5"/>
      <c r="C42" s="5"/>
      <c r="D42" s="5"/>
      <c r="E42" s="5"/>
      <c r="F42" s="5"/>
      <c r="G42" s="5"/>
    </row>
    <row r="43" customFormat="false" ht="15" hidden="false" customHeight="true" outlineLevel="0" collapsed="false">
      <c r="A43" s="60" t="s">
        <v>328</v>
      </c>
      <c r="B43" s="60" t="s">
        <v>35</v>
      </c>
      <c r="C43" s="60" t="s">
        <v>329</v>
      </c>
      <c r="D43" s="60" t="s">
        <v>36</v>
      </c>
      <c r="E43" s="60" t="s">
        <v>37</v>
      </c>
      <c r="F43" s="60" t="s">
        <v>330</v>
      </c>
      <c r="G43" s="60" t="s">
        <v>331</v>
      </c>
    </row>
    <row r="44" customFormat="false" ht="15" hidden="false" customHeight="true" outlineLevel="0" collapsed="false">
      <c r="A44" s="4" t="s">
        <v>31</v>
      </c>
      <c r="B44" s="61" t="n">
        <v>2.937097502</v>
      </c>
      <c r="C44" s="61" t="n">
        <v>-28.063102498</v>
      </c>
      <c r="D44" s="61" t="n">
        <v>169.049969784835</v>
      </c>
      <c r="E44" s="61" t="n">
        <v>14.6419697848349</v>
      </c>
      <c r="F44" s="61" t="n">
        <v>-133.762737469998</v>
      </c>
      <c r="G44" s="62" t="n">
        <v>-45.5424913129077</v>
      </c>
    </row>
    <row r="45" customFormat="false" ht="15" hidden="false" customHeight="true" outlineLevel="0" collapsed="false">
      <c r="A45" s="4" t="s">
        <v>32</v>
      </c>
      <c r="B45" s="61" t="n">
        <v>26.06030234375</v>
      </c>
      <c r="C45" s="61" t="n">
        <v>-7.32369765625</v>
      </c>
      <c r="D45" s="61" t="n">
        <v>1238.36088327088</v>
      </c>
      <c r="E45" s="61" t="n">
        <v>1002.53688327088</v>
      </c>
      <c r="F45" s="61" t="n">
        <v>467.205734214151</v>
      </c>
      <c r="G45" s="62" t="n">
        <v>17.9278708301786</v>
      </c>
    </row>
    <row r="46" customFormat="false" ht="15" hidden="false" customHeight="true" outlineLevel="0" collapsed="false">
      <c r="A46" s="4" t="s">
        <v>33</v>
      </c>
      <c r="B46" s="61" t="n">
        <v>142.036057728</v>
      </c>
      <c r="C46" s="61" t="n">
        <v>103.494457728</v>
      </c>
      <c r="D46" s="61" t="n">
        <v>6696.3205258908</v>
      </c>
      <c r="E46" s="61" t="n">
        <v>6288.8655258908</v>
      </c>
      <c r="F46" s="61" t="n">
        <v>6886.03021494279</v>
      </c>
      <c r="G46" s="62" t="n">
        <v>48.4808598963623</v>
      </c>
    </row>
    <row r="47" customFormat="false" ht="15" hidden="false" customHeight="true" outlineLevel="0" collapsed="false">
      <c r="A47" s="63" t="s">
        <v>332</v>
      </c>
      <c r="B47" s="61" t="n">
        <v>42.318491968075</v>
      </c>
      <c r="C47" s="61" t="n">
        <v>8.618111968075</v>
      </c>
      <c r="D47" s="61" t="n">
        <v>2009.15953774905</v>
      </c>
      <c r="E47" s="61" t="n">
        <v>1763.43413774905</v>
      </c>
      <c r="F47" s="61" t="n">
        <v>1570.68008885463</v>
      </c>
      <c r="G47" s="62" t="n">
        <v>37.1156914107325</v>
      </c>
    </row>
  </sheetData>
  <mergeCells count="7">
    <mergeCell ref="A1:G1"/>
    <mergeCell ref="A2:G2"/>
    <mergeCell ref="A14:G14"/>
    <mergeCell ref="A32:G32"/>
    <mergeCell ref="A39:G39"/>
    <mergeCell ref="A40:G40"/>
    <mergeCell ref="A42:G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40"/>
    <col collapsed="false" customWidth="true" hidden="false" outlineLevel="0" max="8" min="2" style="1" width="15"/>
  </cols>
  <sheetData>
    <row r="1" customFormat="false" ht="19.5" hidden="false" customHeight="true" outlineLevel="0" collapsed="false">
      <c r="A1" s="2" t="s">
        <v>333</v>
      </c>
      <c r="B1" s="2"/>
      <c r="C1" s="2"/>
      <c r="D1" s="2"/>
      <c r="E1" s="2"/>
      <c r="F1" s="2"/>
      <c r="G1" s="2"/>
      <c r="H1" s="2"/>
    </row>
    <row r="2" customFormat="false" ht="15" hidden="false" customHeight="true" outlineLevel="0" collapsed="false">
      <c r="A2" s="3" t="s">
        <v>334</v>
      </c>
      <c r="B2" s="3"/>
      <c r="C2" s="3"/>
      <c r="D2" s="3"/>
      <c r="E2" s="3"/>
      <c r="F2" s="3"/>
      <c r="G2" s="3"/>
      <c r="H2" s="3"/>
    </row>
    <row r="5" customFormat="false" ht="15" hidden="false" customHeight="true" outlineLevel="0" collapsed="false">
      <c r="A5" s="5" t="s">
        <v>335</v>
      </c>
      <c r="B5" s="5"/>
      <c r="C5" s="5"/>
      <c r="D5" s="5"/>
      <c r="E5" s="5"/>
      <c r="F5" s="5"/>
      <c r="G5" s="5"/>
      <c r="H5" s="5"/>
    </row>
    <row r="7" customFormat="false" ht="15" hidden="false" customHeight="true" outlineLevel="0" collapsed="false">
      <c r="A7" s="4" t="s">
        <v>336</v>
      </c>
      <c r="B7" s="64" t="n">
        <v>100</v>
      </c>
      <c r="C7" s="64" t="n">
        <v>200</v>
      </c>
      <c r="D7" s="64" t="n">
        <v>300</v>
      </c>
      <c r="E7" s="64" t="n">
        <v>400</v>
      </c>
      <c r="F7" s="64" t="n">
        <v>500</v>
      </c>
    </row>
    <row r="8" customFormat="false" ht="15" hidden="false" customHeight="true" outlineLevel="0" collapsed="false">
      <c r="A8" s="65" t="n">
        <v>0.3</v>
      </c>
      <c r="B8" s="21" t="n">
        <f aca="false">DCF_Valuation!$B$30 * (0.3/0.6)^0.7 * (100/250)^0.4</f>
        <v>199.347670019691</v>
      </c>
      <c r="C8" s="21" t="n">
        <f aca="false">DCF_Valuation!$B$30 * (0.3/0.6)^0.7 * (200/250)^0.4</f>
        <v>263.040827585127</v>
      </c>
      <c r="D8" s="21" t="n">
        <f aca="false">DCF_Valuation!$B$30 * (0.3/0.6)^0.7 * (300/250)^0.4</f>
        <v>309.356799390398</v>
      </c>
      <c r="E8" s="21" t="n">
        <f aca="false">DCF_Valuation!$B$30 * (0.3/0.6)^0.7 * (400/250)^0.4</f>
        <v>347.084452854824</v>
      </c>
      <c r="F8" s="21" t="n">
        <f aca="false">DCF_Valuation!$B$30 * (0.3/0.6)^0.7 * (500/250)^0.4</f>
        <v>379.488977206819</v>
      </c>
    </row>
    <row r="9" customFormat="false" ht="15" hidden="false" customHeight="true" outlineLevel="0" collapsed="false">
      <c r="A9" s="65" t="n">
        <v>0.4</v>
      </c>
      <c r="B9" s="21" t="n">
        <f aca="false">DCF_Valuation!$B$30 * (0.4/0.6)^0.7 * (100/250)^0.4</f>
        <v>243.819412016864</v>
      </c>
      <c r="C9" s="21" t="n">
        <f aca="false">DCF_Valuation!$B$30 * (0.4/0.6)^0.7 * (200/250)^0.4</f>
        <v>321.721642956247</v>
      </c>
      <c r="D9" s="21" t="n">
        <f aca="false">DCF_Valuation!$B$30 * (0.4/0.6)^0.7 * (300/250)^0.4</f>
        <v>378.370075373015</v>
      </c>
      <c r="E9" s="21" t="n">
        <f aca="false">DCF_Valuation!$B$30 * (0.4/0.6)^0.7 * (400/250)^0.4</f>
        <v>424.514252947621</v>
      </c>
      <c r="F9" s="21" t="n">
        <f aca="false">DCF_Valuation!$B$30 * (0.4/0.6)^0.7 * (500/250)^0.4</f>
        <v>464.147784021292</v>
      </c>
    </row>
    <row r="10" customFormat="false" ht="15" hidden="false" customHeight="true" outlineLevel="0" collapsed="false">
      <c r="A10" s="65" t="n">
        <v>0.5</v>
      </c>
      <c r="B10" s="21" t="n">
        <f aca="false">DCF_Valuation!$B$30 * (0.5/0.6)^0.7 * (100/250)^0.4</f>
        <v>285.039658297245</v>
      </c>
      <c r="C10" s="21" t="n">
        <f aca="false">DCF_Valuation!$B$30 * (0.5/0.6)^0.7 * (200/250)^0.4</f>
        <v>376.112084007217</v>
      </c>
      <c r="D10" s="21" t="n">
        <f aca="false">DCF_Valuation!$B$30 * (0.5/0.6)^0.7 * (300/250)^0.4</f>
        <v>442.337532118926</v>
      </c>
      <c r="E10" s="21" t="n">
        <f aca="false">DCF_Valuation!$B$30 * (0.5/0.6)^0.7 * (400/250)^0.4</f>
        <v>496.282870184802</v>
      </c>
      <c r="F10" s="21" t="n">
        <f aca="false">DCF_Valuation!$B$30 * (0.5/0.6)^0.7 * (500/250)^0.4</f>
        <v>542.616868207778</v>
      </c>
    </row>
    <row r="11" customFormat="false" ht="15" hidden="false" customHeight="true" outlineLevel="0" collapsed="false">
      <c r="A11" s="65" t="n">
        <v>0.6</v>
      </c>
      <c r="B11" s="21" t="n">
        <f aca="false">DCF_Valuation!$B$30 * (0.6/0.6)^0.7 * (100/250)^0.4</f>
        <v>323.841245363053</v>
      </c>
      <c r="C11" s="21" t="n">
        <f aca="false">DCF_Valuation!$B$30 * (0.6/0.6)^0.7 * (200/250)^0.4</f>
        <v>427.311085091094</v>
      </c>
      <c r="D11" s="21" t="n">
        <f aca="false">DCF_Valuation!$B$30 * (0.6/0.6)^0.7 * (300/250)^0.4</f>
        <v>502.551603267892</v>
      </c>
      <c r="E11" s="21" t="n">
        <f aca="false">DCF_Valuation!$B$30 * (0.6/0.6)^0.7 * (400/250)^0.4</f>
        <v>563.840357138648</v>
      </c>
      <c r="F11" s="21" t="n">
        <f aca="false">DCF_Valuation!$B$30 * (0.6/0.6)^0.7 * (500/250)^0.4</f>
        <v>616.481662254031</v>
      </c>
    </row>
    <row r="12" customFormat="false" ht="15" hidden="false" customHeight="true" outlineLevel="0" collapsed="false">
      <c r="A12" s="65" t="n">
        <v>0.7</v>
      </c>
      <c r="B12" s="21" t="n">
        <f aca="false">DCF_Valuation!$B$30 * (0.7/0.6)^0.7 * (100/250)^0.4</f>
        <v>360.74050896874</v>
      </c>
      <c r="C12" s="21" t="n">
        <f aca="false">DCF_Valuation!$B$30 * (0.7/0.6)^0.7 * (200/250)^0.4</f>
        <v>475.999955320493</v>
      </c>
      <c r="D12" s="21" t="n">
        <f aca="false">DCF_Valuation!$B$30 * (0.7/0.6)^0.7 * (300/250)^0.4</f>
        <v>559.813562175113</v>
      </c>
      <c r="E12" s="21" t="n">
        <f aca="false">DCF_Valuation!$B$30 * (0.7/0.6)^0.7 * (400/250)^0.4</f>
        <v>628.085706572934</v>
      </c>
      <c r="F12" s="21" t="n">
        <f aca="false">DCF_Valuation!$B$30 * (0.7/0.6)^0.7 * (500/250)^0.4</f>
        <v>686.725090752713</v>
      </c>
    </row>
    <row r="13" customFormat="false" ht="15" hidden="false" customHeight="true" outlineLevel="0" collapsed="false">
      <c r="A13" s="65" t="n">
        <v>0.8</v>
      </c>
      <c r="B13" s="21" t="n">
        <f aca="false">DCF_Valuation!$B$30 * (0.8/0.6)^0.7 * (100/250)^0.4</f>
        <v>396.085803377731</v>
      </c>
      <c r="C13" s="21" t="n">
        <f aca="false">DCF_Valuation!$B$30 * (0.8/0.6)^0.7 * (200/250)^0.4</f>
        <v>522.638350901754</v>
      </c>
      <c r="D13" s="21" t="n">
        <f aca="false">DCF_Valuation!$B$30 * (0.8/0.6)^0.7 * (300/250)^0.4</f>
        <v>614.664000862442</v>
      </c>
      <c r="E13" s="21" t="n">
        <f aca="false">DCF_Valuation!$B$30 * (0.8/0.6)^0.7 * (400/250)^0.4</f>
        <v>689.625438488164</v>
      </c>
      <c r="F13" s="21" t="n">
        <f aca="false">DCF_Valuation!$B$30 * (0.8/0.6)^0.7 * (500/250)^0.4</f>
        <v>754.010299669462</v>
      </c>
    </row>
    <row r="16" customFormat="false" ht="15" hidden="false" customHeight="true" outlineLevel="0" collapsed="false">
      <c r="A16" s="5" t="s">
        <v>337</v>
      </c>
      <c r="B16" s="5"/>
      <c r="C16" s="5"/>
      <c r="D16" s="5"/>
      <c r="E16" s="5"/>
      <c r="F16" s="5"/>
      <c r="G16" s="5"/>
      <c r="H16" s="5"/>
    </row>
    <row r="18" customFormat="false" ht="15" hidden="false" customHeight="true" outlineLevel="0" collapsed="false">
      <c r="A18" s="4" t="s">
        <v>338</v>
      </c>
      <c r="B18" s="60" t="s">
        <v>339</v>
      </c>
      <c r="C18" s="60" t="s">
        <v>340</v>
      </c>
      <c r="D18" s="60" t="s">
        <v>341</v>
      </c>
      <c r="E18" s="60" t="s">
        <v>342</v>
      </c>
      <c r="F18" s="60" t="s">
        <v>343</v>
      </c>
    </row>
    <row r="19" customFormat="false" ht="15" hidden="false" customHeight="true" outlineLevel="0" collapsed="false">
      <c r="A19" s="53" t="s">
        <v>344</v>
      </c>
      <c r="B19" s="33" t="n">
        <f aca="false">TireMarket!$B$24*1000*0.0025</f>
        <v>0</v>
      </c>
      <c r="C19" s="33" t="n">
        <f aca="false">TireMarket!$B$24*1000*0.005</f>
        <v>0</v>
      </c>
      <c r="D19" s="33" t="n">
        <f aca="false">TireMarket!$B$24*1000*0.01</f>
        <v>0</v>
      </c>
      <c r="E19" s="33" t="n">
        <f aca="false">TireMarket!$B$24*1000*0.02</f>
        <v>0</v>
      </c>
      <c r="F19" s="33" t="n">
        <f aca="false">TireMarket!$B$24*1000*0.05</f>
        <v>0</v>
      </c>
    </row>
    <row r="20" customFormat="false" ht="15" hidden="false" customHeight="true" outlineLevel="0" collapsed="false">
      <c r="A20" s="1" t="s">
        <v>345</v>
      </c>
      <c r="B20" s="27" t="n">
        <f aca="false">B19/2500</f>
        <v>0</v>
      </c>
      <c r="C20" s="27" t="n">
        <f aca="false">B19/2500</f>
        <v>0</v>
      </c>
      <c r="D20" s="27" t="n">
        <f aca="false">B19/2500</f>
        <v>0</v>
      </c>
      <c r="E20" s="27" t="n">
        <f aca="false">B19/2500</f>
        <v>0</v>
      </c>
      <c r="F20" s="27" t="n">
        <f aca="false">B19/2500</f>
        <v>0</v>
      </c>
    </row>
    <row r="21" customFormat="false" ht="15" hidden="false" customHeight="true" outlineLevel="0" collapsed="false">
      <c r="A21" s="1" t="s">
        <v>346</v>
      </c>
      <c r="B21" s="66" t="n">
        <f aca="false">DCF_Valuation!$B$30 * B20^0.7</f>
        <v>0</v>
      </c>
      <c r="C21" s="66" t="n">
        <f aca="false">DCF_Valuation!$B$30 * C20^0.7</f>
        <v>0</v>
      </c>
      <c r="D21" s="66" t="n">
        <f aca="false">DCF_Valuation!$B$30 * D20^0.7</f>
        <v>0</v>
      </c>
      <c r="E21" s="66" t="n">
        <f aca="false">DCF_Valuation!$B$30 * E20^0.7</f>
        <v>0</v>
      </c>
      <c r="F21" s="66" t="n">
        <f aca="false">DCF_Valuation!$B$30 * F20^0.7</f>
        <v>0</v>
      </c>
    </row>
    <row r="23" customFormat="false" ht="15" hidden="false" customHeight="true" outlineLevel="0" collapsed="false">
      <c r="A23" s="5" t="s">
        <v>347</v>
      </c>
      <c r="B23" s="5"/>
      <c r="C23" s="5"/>
      <c r="D23" s="5"/>
      <c r="E23" s="5"/>
      <c r="F23" s="5"/>
      <c r="G23" s="5"/>
      <c r="H23" s="5"/>
    </row>
    <row r="24" customFormat="false" ht="15" hidden="false" customHeight="true" outlineLevel="0" collapsed="false">
      <c r="A24" s="49" t="s">
        <v>348</v>
      </c>
      <c r="B24" s="49"/>
      <c r="C24" s="49"/>
      <c r="D24" s="49"/>
      <c r="E24" s="49"/>
      <c r="F24" s="49"/>
      <c r="G24" s="49"/>
      <c r="H24" s="49"/>
    </row>
    <row r="25" customFormat="false" ht="15" hidden="false" customHeight="true" outlineLevel="0" collapsed="false">
      <c r="A25" s="49" t="s">
        <v>349</v>
      </c>
      <c r="B25" s="49"/>
      <c r="C25" s="49"/>
      <c r="D25" s="49"/>
      <c r="E25" s="49"/>
      <c r="F25" s="49"/>
      <c r="G25" s="49"/>
      <c r="H25" s="49"/>
    </row>
    <row r="26" customFormat="false" ht="15" hidden="false" customHeight="true" outlineLevel="0" collapsed="false">
      <c r="A26" s="49" t="s">
        <v>350</v>
      </c>
      <c r="B26" s="49"/>
      <c r="C26" s="49"/>
      <c r="D26" s="49"/>
      <c r="E26" s="49"/>
      <c r="F26" s="49"/>
      <c r="G26" s="49"/>
      <c r="H26" s="49"/>
    </row>
    <row r="27" customFormat="false" ht="15" hidden="false" customHeight="true" outlineLevel="0" collapsed="false">
      <c r="A27" s="49" t="s">
        <v>351</v>
      </c>
      <c r="B27" s="49"/>
      <c r="C27" s="49"/>
      <c r="D27" s="49"/>
      <c r="E27" s="49"/>
      <c r="F27" s="49"/>
      <c r="G27" s="49"/>
      <c r="H27" s="49"/>
    </row>
  </sheetData>
  <mergeCells count="9">
    <mergeCell ref="A1:H1"/>
    <mergeCell ref="A2:H2"/>
    <mergeCell ref="A5:H5"/>
    <mergeCell ref="A16:H16"/>
    <mergeCell ref="A23:H23"/>
    <mergeCell ref="A24:H24"/>
    <mergeCell ref="A25:H25"/>
    <mergeCell ref="A26:H26"/>
    <mergeCell ref="A27:H2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2026-05-17T23:03:26Z</dcterms:created>
  <dc:creator>openpyxl</dc:creator>
  <dc:description/>
  <dc:language>en-US</dc:language>
  <cp:lastModifiedBy/>
  <dcterms:modified xsi:type="dcterms:W3CDTF">2026-05-17T23:04:20Z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